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firstSheet="4" activeTab="4"/>
  </bookViews>
  <sheets>
    <sheet name="2017年秋季" sheetId="5" state="hidden" r:id="rId1"/>
    <sheet name="results" sheetId="11" state="hidden" r:id="rId2"/>
    <sheet name="2019年秋季" sheetId="16" state="hidden" r:id="rId3"/>
    <sheet name="原始" sheetId="19" state="hidden" r:id="rId4"/>
    <sheet name="正式" sheetId="20" r:id="rId5"/>
    <sheet name="分配表 (2)" sheetId="4" state="hidden" r:id="rId6"/>
  </sheets>
  <definedNames>
    <definedName name="_xlnm.Print_Area" localSheetId="2">'2019年秋季'!$A$1:$M$40</definedName>
    <definedName name="_xlnm.Print_Area" localSheetId="3">原始!$A$1:$H$31</definedName>
    <definedName name="_xlnm.Print_Titles" localSheetId="2">'2019年秋季'!$1:$6</definedName>
    <definedName name="_xlnm.Print_Titles" localSheetId="3">原始!$1:$4</definedName>
    <definedName name="_xlnm.Print_Titles" localSheetId="4">正式!$1:$4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dreamsummit</author>
  </authors>
  <commentList>
    <comment ref="C8" authorId="0">
      <text>
        <r>
          <rPr>
            <sz val="9"/>
            <rFont val="宋体"/>
            <charset val="134"/>
          </rPr>
          <t>原指标262人，调整指标6人到喜河九年制学校。</t>
        </r>
      </text>
    </comment>
    <comment ref="C11" authorId="0">
      <text>
        <r>
          <rPr>
            <sz val="9"/>
            <rFont val="宋体"/>
            <charset val="134"/>
          </rPr>
          <t xml:space="preserve">春季学期从喜河九年制调整增加指标6人
</t>
        </r>
      </text>
    </comment>
    <comment ref="C20" authorId="0">
      <text>
        <r>
          <rPr>
            <sz val="9"/>
            <rFont val="宋体"/>
            <charset val="134"/>
          </rPr>
          <t>原指标74人，2015秋从池河中学调整指标6人，增加到80人，2016春季学期调减指标6人到两河中学。</t>
        </r>
      </text>
    </comment>
    <comment ref="C21" authorId="0">
      <text>
        <r>
          <rPr>
            <b/>
            <sz val="9"/>
            <rFont val="宋体"/>
            <charset val="134"/>
          </rPr>
          <t>中池小学调整4人</t>
        </r>
        <r>
          <rPr>
            <sz val="9"/>
            <rFont val="宋体"/>
            <charset val="134"/>
          </rPr>
          <t xml:space="preserve">
</t>
        </r>
      </text>
    </comment>
    <comment ref="C24" authorId="0">
      <text>
        <r>
          <rPr>
            <b/>
            <sz val="9"/>
            <rFont val="宋体"/>
            <charset val="134"/>
          </rPr>
          <t>2015秋从中池小学调整4人，2016春从熨斗小学调整13人</t>
        </r>
      </text>
    </comment>
    <comment ref="C26" authorId="0">
      <text>
        <r>
          <rPr>
            <sz val="9"/>
            <rFont val="宋体"/>
            <charset val="134"/>
          </rPr>
          <t xml:space="preserve">2015秋从中池小学调整13人，2016年春季调减13人到两河小学。
</t>
        </r>
      </text>
    </comment>
    <comment ref="C28" authorId="0">
      <text>
        <r>
          <rPr>
            <sz val="9"/>
            <rFont val="宋体"/>
            <charset val="134"/>
          </rPr>
          <t>喜河九年制4人，熨斗小学13人，两河小学4人，合计21人。</t>
        </r>
      </text>
    </comment>
  </commentList>
</comments>
</file>

<file path=xl/sharedStrings.xml><?xml version="1.0" encoding="utf-8"?>
<sst xmlns="http://schemas.openxmlformats.org/spreadsheetml/2006/main" count="234" uniqueCount="79">
  <si>
    <t>石泉县2017年秋季学期义务教育贫困寄宿生生活补助资金分配表</t>
  </si>
  <si>
    <t>单位：元</t>
  </si>
  <si>
    <t>序号</t>
  </si>
  <si>
    <t>学校</t>
  </si>
  <si>
    <t>2017年秋季学期补助</t>
  </si>
  <si>
    <t>2017年春季学期补差</t>
  </si>
  <si>
    <t>补助        资金    合计</t>
  </si>
  <si>
    <t>备注</t>
  </si>
  <si>
    <t>人数</t>
  </si>
  <si>
    <t>补助标准</t>
  </si>
  <si>
    <t>补助资金</t>
  </si>
  <si>
    <t>“建档立卡”贫困家庭补差人数</t>
  </si>
  <si>
    <t>合计</t>
  </si>
  <si>
    <t>其中：“建档立卡”贫困家庭学生人数</t>
  </si>
  <si>
    <t>非“建档立卡”贫困家庭学生人数</t>
  </si>
  <si>
    <t>合　计</t>
  </si>
  <si>
    <t>其中：初中</t>
  </si>
  <si>
    <t>　　　小学</t>
  </si>
  <si>
    <t>石泉县城关中学</t>
  </si>
  <si>
    <t>石泉县池河中学</t>
  </si>
  <si>
    <t>石泉县第三中学</t>
  </si>
  <si>
    <t>石泉县熨斗初级中学</t>
  </si>
  <si>
    <t>石泉县后柳初级中学</t>
  </si>
  <si>
    <t>石泉县两河九年制学校</t>
  </si>
  <si>
    <t>初中部</t>
  </si>
  <si>
    <t>小学部</t>
  </si>
  <si>
    <t>石泉县饶峰九年制学校</t>
  </si>
  <si>
    <t>石泉县江南九年制学校</t>
  </si>
  <si>
    <t>石泉县迎丰九年制学校</t>
  </si>
  <si>
    <t>石泉县喜河九年制学校</t>
  </si>
  <si>
    <t>石泉县城关第一小学</t>
  </si>
  <si>
    <t>石泉县城关第二小学</t>
  </si>
  <si>
    <t>石泉县城关第三小学</t>
  </si>
  <si>
    <t>石泉县城关第四小学</t>
  </si>
  <si>
    <t>石泉县城关镇中心小学</t>
  </si>
  <si>
    <t>石泉县池河镇中心小学</t>
  </si>
  <si>
    <t>石泉县喜河镇中心小学</t>
  </si>
  <si>
    <t>石泉县熨斗镇中心小学</t>
  </si>
  <si>
    <t>石泉县后柳镇中心小学</t>
  </si>
  <si>
    <t>石泉县中池镇中心小学</t>
  </si>
  <si>
    <t>石泉县城关镇银龙小学</t>
  </si>
  <si>
    <t>石泉县喜河镇长阳小学</t>
  </si>
  <si>
    <t>石泉县后柳镇中坝小学</t>
  </si>
  <si>
    <t>石泉县曾溪镇中心小学</t>
  </si>
  <si>
    <t>石泉县云雾山镇中心小学</t>
  </si>
  <si>
    <t>石泉县云雾山镇银桥小学</t>
  </si>
  <si>
    <t>2019年秋季学期义务教育家庭经济困难学生生活补助资金（第二批）分配表</t>
  </si>
  <si>
    <t>2019年秋季学期贫困学生补助资金（第二批）</t>
  </si>
  <si>
    <t>第一批已下达</t>
  </si>
  <si>
    <t>本次下达（第二批）</t>
  </si>
  <si>
    <t>十三五建档立卡</t>
  </si>
  <si>
    <t>人数合计</t>
  </si>
  <si>
    <t>已下达  资金</t>
  </si>
  <si>
    <t>十二五建档立卡</t>
  </si>
  <si>
    <t>非建档立卡家庭经济困难寄宿生</t>
  </si>
  <si>
    <t>随班就读及送教上门残疾学生</t>
  </si>
  <si>
    <t>本次下达   补助资金</t>
  </si>
  <si>
    <t>寄宿生</t>
  </si>
  <si>
    <t>非寄宿生</t>
  </si>
  <si>
    <t>第一批结余1个指标</t>
  </si>
  <si>
    <t>含石磨</t>
  </si>
  <si>
    <t>石泉县2024年春季城乡义务教育补助经费（家庭经济困难学生生活费补助）分配表</t>
  </si>
  <si>
    <t>2023年秋季资助金额</t>
  </si>
  <si>
    <t>占比</t>
  </si>
  <si>
    <t>2024年春季预拨资助金额</t>
  </si>
  <si>
    <t>小学</t>
  </si>
  <si>
    <t>初中</t>
  </si>
  <si>
    <t>石泉县2024年城乡义务教育补助经费（家庭经济困难学生生活费补助第一批）分配表</t>
  </si>
  <si>
    <t>2024年第一批补助资金</t>
  </si>
  <si>
    <t>2016年春季学期贫困寄宿生生活补助资金拨付表（往来户）                                石财教(2016)20号文件</t>
  </si>
  <si>
    <t>单位</t>
  </si>
  <si>
    <t>补助     人数</t>
  </si>
  <si>
    <t>补助     标准</t>
  </si>
  <si>
    <t>金额</t>
  </si>
  <si>
    <t>石泉县两河初级中学</t>
  </si>
  <si>
    <t>饶峰初中</t>
  </si>
  <si>
    <t>饶峰小学</t>
  </si>
  <si>
    <t>石泉县长安九年制学校</t>
  </si>
  <si>
    <t>石泉县两河镇中心小学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</si>
</sst>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"/>
  </numFmts>
  <fonts count="38">
    <font>
      <sz val="12"/>
      <name val="宋体"/>
      <charset val="134"/>
    </font>
    <font>
      <sz val="14"/>
      <name val="宋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黑体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name val="方正小标宋简体"/>
      <charset val="134"/>
    </font>
    <font>
      <sz val="18"/>
      <name val="方正小标宋简体"/>
      <charset val="134"/>
    </font>
    <font>
      <sz val="10"/>
      <name val="仿宋_GB2312"/>
      <charset val="134"/>
    </font>
    <font>
      <sz val="11"/>
      <name val="宋体"/>
      <charset val="134"/>
    </font>
    <font>
      <sz val="8"/>
      <name val="仿宋_GB2312"/>
      <charset val="134"/>
    </font>
    <font>
      <sz val="9"/>
      <name val="仿宋_GB2312"/>
      <charset val="134"/>
    </font>
    <font>
      <sz val="22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</cellStyleXfs>
  <cellXfs count="9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/>
    </xf>
    <xf numFmtId="178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Alignment="1"/>
    <xf numFmtId="176" fontId="5" fillId="0" borderId="1" xfId="0" applyNumberFormat="1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right" vertical="center" shrinkToFit="1"/>
    </xf>
    <xf numFmtId="179" fontId="5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0" fontId="10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 shrinkToFit="1"/>
    </xf>
    <xf numFmtId="0" fontId="13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3" xfId="0" applyFont="1" applyFill="1" applyBorder="1" applyAlignment="1">
      <alignment vertical="center" shrinkToFit="1"/>
    </xf>
    <xf numFmtId="0" fontId="5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差_RESULTS" xfId="49"/>
    <cellStyle name="好_RESULTS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2.xml"/><Relationship Id="rId7" Type="http://schemas.openxmlformats.org/officeDocument/2006/relationships/customXml" Target="../customXml/item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39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E37" sqref="E37"/>
    </sheetView>
  </sheetViews>
  <sheetFormatPr defaultColWidth="9" defaultRowHeight="18.75"/>
  <cols>
    <col min="1" max="1" width="4.125" style="36" customWidth="1"/>
    <col min="2" max="2" width="21.375" style="37" customWidth="1"/>
    <col min="3" max="3" width="10.125" style="37" customWidth="1"/>
    <col min="4" max="4" width="12" style="37" customWidth="1"/>
    <col min="5" max="5" width="10.125" style="36" customWidth="1"/>
    <col min="6" max="12" width="9.875" style="36" customWidth="1"/>
    <col min="13" max="16384" width="9" style="36"/>
  </cols>
  <sheetData>
    <row r="1" ht="36" customHeight="1" spans="1:12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ht="18" customHeight="1" spans="1:12">
      <c r="A2" s="58"/>
      <c r="B2" s="59"/>
      <c r="C2" s="59"/>
      <c r="D2" s="59"/>
      <c r="L2" s="92" t="s">
        <v>1</v>
      </c>
    </row>
    <row r="3" ht="18" customHeight="1" spans="1:12">
      <c r="A3" s="75" t="s">
        <v>2</v>
      </c>
      <c r="B3" s="26" t="s">
        <v>3</v>
      </c>
      <c r="C3" s="61" t="s">
        <v>4</v>
      </c>
      <c r="D3" s="76"/>
      <c r="E3" s="76"/>
      <c r="F3" s="76"/>
      <c r="G3" s="62"/>
      <c r="H3" s="61" t="s">
        <v>5</v>
      </c>
      <c r="I3" s="76"/>
      <c r="J3" s="62"/>
      <c r="K3" s="75" t="s">
        <v>6</v>
      </c>
      <c r="L3" s="26" t="s">
        <v>7</v>
      </c>
    </row>
    <row r="4" ht="18" customHeight="1" spans="1:12">
      <c r="A4" s="77"/>
      <c r="B4" s="78"/>
      <c r="C4" s="61" t="s">
        <v>8</v>
      </c>
      <c r="D4" s="76"/>
      <c r="E4" s="62"/>
      <c r="F4" s="31" t="s">
        <v>9</v>
      </c>
      <c r="G4" s="31" t="s">
        <v>10</v>
      </c>
      <c r="H4" s="79" t="s">
        <v>11</v>
      </c>
      <c r="I4" s="31" t="s">
        <v>9</v>
      </c>
      <c r="J4" s="31" t="s">
        <v>10</v>
      </c>
      <c r="K4" s="77"/>
      <c r="L4" s="78"/>
    </row>
    <row r="5" ht="40.5" customHeight="1" spans="1:12">
      <c r="A5" s="77"/>
      <c r="B5" s="28"/>
      <c r="C5" s="26" t="s">
        <v>12</v>
      </c>
      <c r="D5" s="80" t="s">
        <v>13</v>
      </c>
      <c r="E5" s="81" t="s">
        <v>14</v>
      </c>
      <c r="F5" s="31"/>
      <c r="G5" s="31"/>
      <c r="H5" s="82"/>
      <c r="I5" s="31"/>
      <c r="J5" s="31"/>
      <c r="K5" s="77"/>
      <c r="L5" s="78"/>
    </row>
    <row r="6" ht="18" customHeight="1" spans="1:12">
      <c r="A6" s="83"/>
      <c r="B6" s="47" t="s">
        <v>15</v>
      </c>
      <c r="C6" s="60">
        <f>D6+E6</f>
        <v>3391</v>
      </c>
      <c r="D6" s="60">
        <f>D7+D8</f>
        <v>2075</v>
      </c>
      <c r="E6" s="60">
        <f t="shared" ref="E6:K6" si="0">E7+E8</f>
        <v>1316</v>
      </c>
      <c r="F6" s="60"/>
      <c r="G6" s="60">
        <f t="shared" si="0"/>
        <v>1920250</v>
      </c>
      <c r="H6" s="60">
        <f t="shared" si="0"/>
        <v>91</v>
      </c>
      <c r="I6" s="60"/>
      <c r="J6" s="60">
        <f t="shared" si="0"/>
        <v>46250</v>
      </c>
      <c r="K6" s="60">
        <f t="shared" si="0"/>
        <v>1966500</v>
      </c>
      <c r="L6" s="93"/>
    </row>
    <row r="7" ht="18" customHeight="1" spans="1:12">
      <c r="A7" s="83"/>
      <c r="B7" s="84" t="s">
        <v>16</v>
      </c>
      <c r="C7" s="60">
        <f>D7+E7</f>
        <v>1798</v>
      </c>
      <c r="D7" s="60">
        <f>SUM(D9:D14,D16,D18,D20,D22)</f>
        <v>670</v>
      </c>
      <c r="E7" s="60">
        <f>SUM(E9:E14,E16,E18,E20,E22)</f>
        <v>1128</v>
      </c>
      <c r="F7" s="60">
        <v>625</v>
      </c>
      <c r="G7" s="60">
        <f>SUM(G9:G14,G16,G18,G20,G22)</f>
        <v>1123750</v>
      </c>
      <c r="H7" s="60">
        <f>SUM(H9:H14,H16,H18,H20,H22)</f>
        <v>6</v>
      </c>
      <c r="I7" s="60"/>
      <c r="J7" s="60">
        <f>SUM(J9:J14,J16,J18,J20,J22)</f>
        <v>3750</v>
      </c>
      <c r="K7" s="60">
        <f>SUM(K9:K14,K16,K18,K20,K22)</f>
        <v>1127500</v>
      </c>
      <c r="L7" s="93"/>
    </row>
    <row r="8" ht="18" customHeight="1" spans="1:12">
      <c r="A8" s="83"/>
      <c r="B8" s="84" t="s">
        <v>17</v>
      </c>
      <c r="C8" s="60">
        <f>D8+E8</f>
        <v>1593</v>
      </c>
      <c r="D8" s="60">
        <f>SUM(D24:D39,D15,D17,D19,D21,D23)</f>
        <v>1405</v>
      </c>
      <c r="E8" s="60">
        <f>SUM(E24:E39,E15,E17,E19,E21,E23)</f>
        <v>188</v>
      </c>
      <c r="F8" s="60">
        <v>500</v>
      </c>
      <c r="G8" s="60">
        <f>SUM(G24:G39,G15,G17,G19,G21,G23)</f>
        <v>796500</v>
      </c>
      <c r="H8" s="60">
        <f>SUM(H24:H39,H15,H17,H19,H21,H23)</f>
        <v>85</v>
      </c>
      <c r="I8" s="60">
        <v>500</v>
      </c>
      <c r="J8" s="60">
        <f>SUM(J24:J39,J15,J17,J19,J21,J23)</f>
        <v>42500</v>
      </c>
      <c r="K8" s="60">
        <f>SUM(K24:K39,K15,K17,K19,K21,K23)</f>
        <v>839000</v>
      </c>
      <c r="L8" s="94"/>
    </row>
    <row r="9" s="2" customFormat="1" ht="18" customHeight="1" spans="1:12">
      <c r="A9" s="31">
        <v>1</v>
      </c>
      <c r="B9" s="84" t="s">
        <v>18</v>
      </c>
      <c r="C9" s="60">
        <f>D9+E9</f>
        <v>78</v>
      </c>
      <c r="D9" s="85">
        <v>78</v>
      </c>
      <c r="E9" s="85"/>
      <c r="F9" s="85">
        <v>625</v>
      </c>
      <c r="G9" s="85">
        <f>C9*F9</f>
        <v>48750</v>
      </c>
      <c r="H9" s="85">
        <v>3</v>
      </c>
      <c r="I9" s="85">
        <v>625</v>
      </c>
      <c r="J9" s="85">
        <f>H9*I9</f>
        <v>1875</v>
      </c>
      <c r="K9" s="60">
        <f>G9+J9</f>
        <v>50625</v>
      </c>
      <c r="L9" s="94"/>
    </row>
    <row r="10" s="2" customFormat="1" ht="18" customHeight="1" spans="1:12">
      <c r="A10" s="31">
        <v>2</v>
      </c>
      <c r="B10" s="84" t="s">
        <v>19</v>
      </c>
      <c r="C10" s="60">
        <f t="shared" ref="C10:C39" si="1">D10+E10</f>
        <v>263</v>
      </c>
      <c r="D10" s="85">
        <v>72</v>
      </c>
      <c r="E10" s="85">
        <v>191</v>
      </c>
      <c r="F10" s="85">
        <v>625</v>
      </c>
      <c r="G10" s="85">
        <f t="shared" ref="G10:G39" si="2">C10*F10</f>
        <v>164375</v>
      </c>
      <c r="H10" s="85"/>
      <c r="I10" s="85"/>
      <c r="J10" s="85">
        <f t="shared" ref="J10:J39" si="3">H10*I10</f>
        <v>0</v>
      </c>
      <c r="K10" s="60">
        <f>G10+J10</f>
        <v>164375</v>
      </c>
      <c r="L10" s="94"/>
    </row>
    <row r="11" s="2" customFormat="1" ht="18" customHeight="1" spans="1:12">
      <c r="A11" s="31">
        <v>3</v>
      </c>
      <c r="B11" s="84" t="s">
        <v>20</v>
      </c>
      <c r="C11" s="60">
        <f t="shared" si="1"/>
        <v>320</v>
      </c>
      <c r="D11" s="85">
        <v>93</v>
      </c>
      <c r="E11" s="85">
        <v>227</v>
      </c>
      <c r="F11" s="85">
        <v>625</v>
      </c>
      <c r="G11" s="85">
        <f t="shared" si="2"/>
        <v>200000</v>
      </c>
      <c r="H11" s="85"/>
      <c r="I11" s="85"/>
      <c r="J11" s="85">
        <f t="shared" si="3"/>
        <v>0</v>
      </c>
      <c r="K11" s="60">
        <f t="shared" ref="K11:K39" si="4">G11+J11</f>
        <v>200000</v>
      </c>
      <c r="L11" s="94"/>
    </row>
    <row r="12" s="2" customFormat="1" ht="18" customHeight="1" spans="1:12">
      <c r="A12" s="31">
        <v>4</v>
      </c>
      <c r="B12" s="86" t="s">
        <v>21</v>
      </c>
      <c r="C12" s="60">
        <f t="shared" si="1"/>
        <v>250</v>
      </c>
      <c r="D12" s="85">
        <v>157</v>
      </c>
      <c r="E12" s="85">
        <v>93</v>
      </c>
      <c r="F12" s="85">
        <v>625</v>
      </c>
      <c r="G12" s="85">
        <f t="shared" si="2"/>
        <v>156250</v>
      </c>
      <c r="H12" s="85">
        <v>1</v>
      </c>
      <c r="I12" s="85">
        <v>625</v>
      </c>
      <c r="J12" s="85">
        <f t="shared" si="3"/>
        <v>625</v>
      </c>
      <c r="K12" s="60">
        <f t="shared" si="4"/>
        <v>156875</v>
      </c>
      <c r="L12" s="94"/>
    </row>
    <row r="13" s="2" customFormat="1" ht="18" customHeight="1" spans="1:12">
      <c r="A13" s="31">
        <v>5</v>
      </c>
      <c r="B13" s="86" t="s">
        <v>22</v>
      </c>
      <c r="C13" s="60">
        <f t="shared" si="1"/>
        <v>444</v>
      </c>
      <c r="D13" s="85">
        <v>108</v>
      </c>
      <c r="E13" s="85">
        <v>336</v>
      </c>
      <c r="F13" s="85">
        <v>625</v>
      </c>
      <c r="G13" s="85">
        <f t="shared" si="2"/>
        <v>277500</v>
      </c>
      <c r="H13" s="85">
        <v>1</v>
      </c>
      <c r="I13" s="85">
        <v>625</v>
      </c>
      <c r="J13" s="85">
        <f t="shared" si="3"/>
        <v>625</v>
      </c>
      <c r="K13" s="60">
        <f t="shared" si="4"/>
        <v>278125</v>
      </c>
      <c r="L13" s="94"/>
    </row>
    <row r="14" s="2" customFormat="1" ht="18" customHeight="1" spans="1:12">
      <c r="A14" s="26">
        <v>6</v>
      </c>
      <c r="B14" s="87" t="s">
        <v>23</v>
      </c>
      <c r="C14" s="60">
        <f t="shared" si="1"/>
        <v>56</v>
      </c>
      <c r="D14" s="85">
        <v>17</v>
      </c>
      <c r="E14" s="85">
        <v>39</v>
      </c>
      <c r="F14" s="85">
        <v>625</v>
      </c>
      <c r="G14" s="85">
        <f t="shared" si="2"/>
        <v>35000</v>
      </c>
      <c r="H14" s="85"/>
      <c r="I14" s="85"/>
      <c r="J14" s="85">
        <f t="shared" si="3"/>
        <v>0</v>
      </c>
      <c r="K14" s="60">
        <f t="shared" si="4"/>
        <v>35000</v>
      </c>
      <c r="L14" s="94" t="s">
        <v>24</v>
      </c>
    </row>
    <row r="15" s="2" customFormat="1" ht="18" customHeight="1" spans="1:12">
      <c r="A15" s="28"/>
      <c r="B15" s="88"/>
      <c r="C15" s="60">
        <f t="shared" si="1"/>
        <v>57</v>
      </c>
      <c r="D15" s="85">
        <v>50</v>
      </c>
      <c r="E15" s="85">
        <v>7</v>
      </c>
      <c r="F15" s="85">
        <v>500</v>
      </c>
      <c r="G15" s="85">
        <f t="shared" si="2"/>
        <v>28500</v>
      </c>
      <c r="H15" s="85">
        <v>1</v>
      </c>
      <c r="I15" s="85">
        <v>500</v>
      </c>
      <c r="J15" s="85">
        <f t="shared" si="3"/>
        <v>500</v>
      </c>
      <c r="K15" s="60">
        <f t="shared" si="4"/>
        <v>29000</v>
      </c>
      <c r="L15" s="94" t="s">
        <v>25</v>
      </c>
    </row>
    <row r="16" s="2" customFormat="1" ht="18" customHeight="1" spans="1:12">
      <c r="A16" s="26">
        <v>7</v>
      </c>
      <c r="B16" s="89" t="s">
        <v>26</v>
      </c>
      <c r="C16" s="60">
        <f t="shared" si="1"/>
        <v>89</v>
      </c>
      <c r="D16" s="85">
        <v>36</v>
      </c>
      <c r="E16" s="85">
        <v>53</v>
      </c>
      <c r="F16" s="85">
        <v>625</v>
      </c>
      <c r="G16" s="85">
        <f t="shared" si="2"/>
        <v>55625</v>
      </c>
      <c r="H16" s="85">
        <v>1</v>
      </c>
      <c r="I16" s="85">
        <v>625</v>
      </c>
      <c r="J16" s="85">
        <f t="shared" si="3"/>
        <v>625</v>
      </c>
      <c r="K16" s="60">
        <f t="shared" si="4"/>
        <v>56250</v>
      </c>
      <c r="L16" s="94" t="s">
        <v>24</v>
      </c>
    </row>
    <row r="17" s="2" customFormat="1" ht="18" customHeight="1" spans="1:12">
      <c r="A17" s="28"/>
      <c r="B17" s="90"/>
      <c r="C17" s="60">
        <f t="shared" si="1"/>
        <v>77</v>
      </c>
      <c r="D17" s="85">
        <v>71</v>
      </c>
      <c r="E17" s="85">
        <v>6</v>
      </c>
      <c r="F17" s="85">
        <v>500</v>
      </c>
      <c r="G17" s="85">
        <f t="shared" si="2"/>
        <v>38500</v>
      </c>
      <c r="H17" s="85"/>
      <c r="I17" s="85"/>
      <c r="J17" s="85">
        <f t="shared" si="3"/>
        <v>0</v>
      </c>
      <c r="K17" s="60">
        <f t="shared" si="4"/>
        <v>38500</v>
      </c>
      <c r="L17" s="94" t="s">
        <v>25</v>
      </c>
    </row>
    <row r="18" s="2" customFormat="1" ht="18" customHeight="1" spans="1:12">
      <c r="A18" s="26">
        <v>8</v>
      </c>
      <c r="B18" s="89" t="s">
        <v>27</v>
      </c>
      <c r="C18" s="60">
        <f t="shared" si="1"/>
        <v>101</v>
      </c>
      <c r="D18" s="85">
        <v>42</v>
      </c>
      <c r="E18" s="85">
        <v>59</v>
      </c>
      <c r="F18" s="85">
        <v>625</v>
      </c>
      <c r="G18" s="85">
        <f t="shared" si="2"/>
        <v>63125</v>
      </c>
      <c r="H18" s="85"/>
      <c r="I18" s="85"/>
      <c r="J18" s="85">
        <f t="shared" si="3"/>
        <v>0</v>
      </c>
      <c r="K18" s="60">
        <f t="shared" si="4"/>
        <v>63125</v>
      </c>
      <c r="L18" s="94" t="s">
        <v>24</v>
      </c>
    </row>
    <row r="19" s="2" customFormat="1" ht="18" customHeight="1" spans="1:12">
      <c r="A19" s="28"/>
      <c r="B19" s="90"/>
      <c r="C19" s="60">
        <f t="shared" si="1"/>
        <v>51</v>
      </c>
      <c r="D19" s="85">
        <v>47</v>
      </c>
      <c r="E19" s="85">
        <v>4</v>
      </c>
      <c r="F19" s="85">
        <v>500</v>
      </c>
      <c r="G19" s="85">
        <f t="shared" si="2"/>
        <v>25500</v>
      </c>
      <c r="H19" s="85">
        <v>2</v>
      </c>
      <c r="I19" s="85">
        <v>500</v>
      </c>
      <c r="J19" s="85">
        <f t="shared" si="3"/>
        <v>1000</v>
      </c>
      <c r="K19" s="60">
        <f t="shared" si="4"/>
        <v>26500</v>
      </c>
      <c r="L19" s="94" t="s">
        <v>25</v>
      </c>
    </row>
    <row r="20" s="2" customFormat="1" ht="18" customHeight="1" spans="1:12">
      <c r="A20" s="26">
        <v>9</v>
      </c>
      <c r="B20" s="89" t="s">
        <v>28</v>
      </c>
      <c r="C20" s="60">
        <f t="shared" si="1"/>
        <v>88</v>
      </c>
      <c r="D20" s="85">
        <v>31</v>
      </c>
      <c r="E20" s="85">
        <v>57</v>
      </c>
      <c r="F20" s="85">
        <v>625</v>
      </c>
      <c r="G20" s="85">
        <f t="shared" si="2"/>
        <v>55000</v>
      </c>
      <c r="H20" s="85"/>
      <c r="I20" s="85"/>
      <c r="J20" s="85">
        <f t="shared" si="3"/>
        <v>0</v>
      </c>
      <c r="K20" s="60">
        <f t="shared" si="4"/>
        <v>55000</v>
      </c>
      <c r="L20" s="94" t="s">
        <v>24</v>
      </c>
    </row>
    <row r="21" s="2" customFormat="1" ht="18" customHeight="1" spans="1:12">
      <c r="A21" s="28"/>
      <c r="B21" s="90"/>
      <c r="C21" s="60">
        <f t="shared" si="1"/>
        <v>81</v>
      </c>
      <c r="D21" s="85">
        <v>67</v>
      </c>
      <c r="E21" s="85">
        <v>14</v>
      </c>
      <c r="F21" s="85">
        <v>500</v>
      </c>
      <c r="G21" s="85">
        <f t="shared" si="2"/>
        <v>40500</v>
      </c>
      <c r="H21" s="85">
        <v>2</v>
      </c>
      <c r="I21" s="85">
        <v>500</v>
      </c>
      <c r="J21" s="85">
        <f t="shared" si="3"/>
        <v>1000</v>
      </c>
      <c r="K21" s="60">
        <f t="shared" si="4"/>
        <v>41500</v>
      </c>
      <c r="L21" s="94" t="s">
        <v>25</v>
      </c>
    </row>
    <row r="22" s="2" customFormat="1" ht="18" customHeight="1" spans="1:12">
      <c r="A22" s="26">
        <v>10</v>
      </c>
      <c r="B22" s="89" t="s">
        <v>29</v>
      </c>
      <c r="C22" s="60">
        <f t="shared" si="1"/>
        <v>109</v>
      </c>
      <c r="D22" s="85">
        <v>36</v>
      </c>
      <c r="E22" s="85">
        <v>73</v>
      </c>
      <c r="F22" s="85">
        <v>625</v>
      </c>
      <c r="G22" s="85">
        <f t="shared" si="2"/>
        <v>68125</v>
      </c>
      <c r="H22" s="85"/>
      <c r="I22" s="85"/>
      <c r="J22" s="85">
        <f t="shared" si="3"/>
        <v>0</v>
      </c>
      <c r="K22" s="60">
        <f t="shared" si="4"/>
        <v>68125</v>
      </c>
      <c r="L22" s="94" t="s">
        <v>24</v>
      </c>
    </row>
    <row r="23" s="2" customFormat="1" ht="18" customHeight="1" spans="1:12">
      <c r="A23" s="28"/>
      <c r="B23" s="90"/>
      <c r="C23" s="60">
        <f t="shared" si="1"/>
        <v>59</v>
      </c>
      <c r="D23" s="85">
        <v>49</v>
      </c>
      <c r="E23" s="85">
        <v>10</v>
      </c>
      <c r="F23" s="85">
        <v>500</v>
      </c>
      <c r="G23" s="85">
        <f t="shared" si="2"/>
        <v>29500</v>
      </c>
      <c r="H23" s="85"/>
      <c r="I23" s="85"/>
      <c r="J23" s="85">
        <f t="shared" si="3"/>
        <v>0</v>
      </c>
      <c r="K23" s="60">
        <f t="shared" si="4"/>
        <v>29500</v>
      </c>
      <c r="L23" s="94" t="s">
        <v>25</v>
      </c>
    </row>
    <row r="24" s="2" customFormat="1" ht="20.25" customHeight="1" spans="1:12">
      <c r="A24" s="28">
        <v>11</v>
      </c>
      <c r="B24" s="91" t="s">
        <v>30</v>
      </c>
      <c r="C24" s="60">
        <f t="shared" si="1"/>
        <v>43</v>
      </c>
      <c r="D24" s="85">
        <v>43</v>
      </c>
      <c r="E24" s="85"/>
      <c r="F24" s="85">
        <v>500</v>
      </c>
      <c r="G24" s="85">
        <f t="shared" si="2"/>
        <v>21500</v>
      </c>
      <c r="H24" s="85"/>
      <c r="I24" s="85"/>
      <c r="J24" s="85">
        <f t="shared" si="3"/>
        <v>0</v>
      </c>
      <c r="K24" s="60">
        <f t="shared" si="4"/>
        <v>21500</v>
      </c>
      <c r="L24" s="94"/>
    </row>
    <row r="25" s="2" customFormat="1" ht="20.25" customHeight="1" spans="1:12">
      <c r="A25" s="28">
        <v>12</v>
      </c>
      <c r="B25" s="91" t="s">
        <v>31</v>
      </c>
      <c r="C25" s="60">
        <f t="shared" si="1"/>
        <v>116</v>
      </c>
      <c r="D25" s="85">
        <v>116</v>
      </c>
      <c r="E25" s="85"/>
      <c r="F25" s="85">
        <v>500</v>
      </c>
      <c r="G25" s="85">
        <f t="shared" si="2"/>
        <v>58000</v>
      </c>
      <c r="H25" s="85">
        <v>23</v>
      </c>
      <c r="I25" s="85">
        <v>500</v>
      </c>
      <c r="J25" s="85">
        <f t="shared" si="3"/>
        <v>11500</v>
      </c>
      <c r="K25" s="60">
        <f t="shared" si="4"/>
        <v>69500</v>
      </c>
      <c r="L25" s="94"/>
    </row>
    <row r="26" s="2" customFormat="1" ht="20.25" customHeight="1" spans="1:12">
      <c r="A26" s="28">
        <v>13</v>
      </c>
      <c r="B26" s="91" t="s">
        <v>32</v>
      </c>
      <c r="C26" s="60">
        <f t="shared" si="1"/>
        <v>19</v>
      </c>
      <c r="D26" s="85">
        <v>19</v>
      </c>
      <c r="E26" s="85"/>
      <c r="F26" s="85">
        <v>500</v>
      </c>
      <c r="G26" s="85">
        <f t="shared" si="2"/>
        <v>9500</v>
      </c>
      <c r="H26" s="85">
        <v>2</v>
      </c>
      <c r="I26" s="85">
        <v>500</v>
      </c>
      <c r="J26" s="85">
        <f t="shared" si="3"/>
        <v>1000</v>
      </c>
      <c r="K26" s="60">
        <f t="shared" si="4"/>
        <v>10500</v>
      </c>
      <c r="L26" s="94"/>
    </row>
    <row r="27" s="2" customFormat="1" ht="20.25" customHeight="1" spans="1:12">
      <c r="A27" s="28">
        <v>14</v>
      </c>
      <c r="B27" s="91" t="s">
        <v>33</v>
      </c>
      <c r="C27" s="60">
        <f t="shared" si="1"/>
        <v>25</v>
      </c>
      <c r="D27" s="85">
        <v>25</v>
      </c>
      <c r="E27" s="85"/>
      <c r="F27" s="85">
        <v>500</v>
      </c>
      <c r="G27" s="85">
        <f t="shared" si="2"/>
        <v>12500</v>
      </c>
      <c r="H27" s="85"/>
      <c r="I27" s="85"/>
      <c r="J27" s="85"/>
      <c r="K27" s="60">
        <f t="shared" si="4"/>
        <v>12500</v>
      </c>
      <c r="L27" s="94"/>
    </row>
    <row r="28" s="2" customFormat="1" ht="20.25" customHeight="1" spans="1:12">
      <c r="A28" s="28">
        <v>15</v>
      </c>
      <c r="B28" s="86" t="s">
        <v>34</v>
      </c>
      <c r="C28" s="60">
        <f t="shared" si="1"/>
        <v>129</v>
      </c>
      <c r="D28" s="85">
        <v>127</v>
      </c>
      <c r="E28" s="85">
        <v>2</v>
      </c>
      <c r="F28" s="85">
        <v>500</v>
      </c>
      <c r="G28" s="85">
        <f t="shared" si="2"/>
        <v>64500</v>
      </c>
      <c r="H28" s="85">
        <v>4</v>
      </c>
      <c r="I28" s="85">
        <v>500</v>
      </c>
      <c r="J28" s="85">
        <f t="shared" si="3"/>
        <v>2000</v>
      </c>
      <c r="K28" s="60">
        <f t="shared" si="4"/>
        <v>66500</v>
      </c>
      <c r="L28" s="94"/>
    </row>
    <row r="29" s="2" customFormat="1" ht="20.25" customHeight="1" spans="1:12">
      <c r="A29" s="28">
        <v>16</v>
      </c>
      <c r="B29" s="86" t="s">
        <v>35</v>
      </c>
      <c r="C29" s="60">
        <f t="shared" si="1"/>
        <v>119</v>
      </c>
      <c r="D29" s="85">
        <v>110</v>
      </c>
      <c r="E29" s="85">
        <v>9</v>
      </c>
      <c r="F29" s="85">
        <v>500</v>
      </c>
      <c r="G29" s="85">
        <f t="shared" si="2"/>
        <v>59500</v>
      </c>
      <c r="H29" s="85">
        <v>1</v>
      </c>
      <c r="I29" s="85">
        <v>500</v>
      </c>
      <c r="J29" s="85">
        <f t="shared" si="3"/>
        <v>500</v>
      </c>
      <c r="K29" s="60">
        <f t="shared" si="4"/>
        <v>60000</v>
      </c>
      <c r="L29" s="94"/>
    </row>
    <row r="30" s="2" customFormat="1" ht="20.25" customHeight="1" spans="1:12">
      <c r="A30" s="28">
        <v>17</v>
      </c>
      <c r="B30" s="86" t="s">
        <v>36</v>
      </c>
      <c r="C30" s="60">
        <f t="shared" si="1"/>
        <v>65</v>
      </c>
      <c r="D30" s="85">
        <v>50</v>
      </c>
      <c r="E30" s="85">
        <v>15</v>
      </c>
      <c r="F30" s="85">
        <v>500</v>
      </c>
      <c r="G30" s="85">
        <f t="shared" si="2"/>
        <v>32500</v>
      </c>
      <c r="H30" s="85">
        <v>4</v>
      </c>
      <c r="I30" s="85">
        <v>500</v>
      </c>
      <c r="J30" s="85">
        <f t="shared" si="3"/>
        <v>2000</v>
      </c>
      <c r="K30" s="60">
        <f t="shared" si="4"/>
        <v>34500</v>
      </c>
      <c r="L30" s="94"/>
    </row>
    <row r="31" s="2" customFormat="1" ht="20.25" customHeight="1" spans="1:12">
      <c r="A31" s="28">
        <v>18</v>
      </c>
      <c r="B31" s="86" t="s">
        <v>37</v>
      </c>
      <c r="C31" s="60">
        <f t="shared" si="1"/>
        <v>336</v>
      </c>
      <c r="D31" s="85">
        <v>310</v>
      </c>
      <c r="E31" s="85">
        <v>26</v>
      </c>
      <c r="F31" s="85">
        <v>500</v>
      </c>
      <c r="G31" s="85">
        <f t="shared" si="2"/>
        <v>168000</v>
      </c>
      <c r="H31" s="85">
        <v>22</v>
      </c>
      <c r="I31" s="85">
        <v>500</v>
      </c>
      <c r="J31" s="85">
        <f t="shared" si="3"/>
        <v>11000</v>
      </c>
      <c r="K31" s="60">
        <f t="shared" si="4"/>
        <v>179000</v>
      </c>
      <c r="L31" s="94"/>
    </row>
    <row r="32" s="2" customFormat="1" ht="20.25" customHeight="1" spans="1:12">
      <c r="A32" s="28">
        <v>19</v>
      </c>
      <c r="B32" s="86" t="s">
        <v>38</v>
      </c>
      <c r="C32" s="60">
        <f t="shared" si="1"/>
        <v>80</v>
      </c>
      <c r="D32" s="85">
        <v>74</v>
      </c>
      <c r="E32" s="85">
        <v>6</v>
      </c>
      <c r="F32" s="85">
        <v>500</v>
      </c>
      <c r="G32" s="85">
        <f t="shared" si="2"/>
        <v>40000</v>
      </c>
      <c r="H32" s="85">
        <v>7</v>
      </c>
      <c r="I32" s="85">
        <v>500</v>
      </c>
      <c r="J32" s="85">
        <f t="shared" si="3"/>
        <v>3500</v>
      </c>
      <c r="K32" s="60">
        <f t="shared" si="4"/>
        <v>43500</v>
      </c>
      <c r="L32" s="94"/>
    </row>
    <row r="33" s="2" customFormat="1" ht="20.25" customHeight="1" spans="1:12">
      <c r="A33" s="28">
        <v>20</v>
      </c>
      <c r="B33" s="86" t="s">
        <v>39</v>
      </c>
      <c r="C33" s="60">
        <f t="shared" si="1"/>
        <v>88</v>
      </c>
      <c r="D33" s="85">
        <v>69</v>
      </c>
      <c r="E33" s="85">
        <v>19</v>
      </c>
      <c r="F33" s="85">
        <v>500</v>
      </c>
      <c r="G33" s="85">
        <f t="shared" si="2"/>
        <v>44000</v>
      </c>
      <c r="H33" s="85">
        <v>8</v>
      </c>
      <c r="I33" s="85">
        <v>500</v>
      </c>
      <c r="J33" s="85">
        <f t="shared" si="3"/>
        <v>4000</v>
      </c>
      <c r="K33" s="60">
        <f t="shared" si="4"/>
        <v>48000</v>
      </c>
      <c r="L33" s="94"/>
    </row>
    <row r="34" s="2" customFormat="1" ht="20.25" customHeight="1" spans="1:12">
      <c r="A34" s="28">
        <v>21</v>
      </c>
      <c r="B34" s="86" t="s">
        <v>40</v>
      </c>
      <c r="C34" s="60">
        <f t="shared" si="1"/>
        <v>31</v>
      </c>
      <c r="D34" s="85">
        <v>25</v>
      </c>
      <c r="E34" s="85">
        <v>6</v>
      </c>
      <c r="F34" s="85">
        <v>500</v>
      </c>
      <c r="G34" s="85">
        <f t="shared" si="2"/>
        <v>15500</v>
      </c>
      <c r="H34" s="85"/>
      <c r="I34" s="85"/>
      <c r="J34" s="85">
        <f t="shared" si="3"/>
        <v>0</v>
      </c>
      <c r="K34" s="60">
        <f t="shared" si="4"/>
        <v>15500</v>
      </c>
      <c r="L34" s="94"/>
    </row>
    <row r="35" s="2" customFormat="1" ht="20.25" customHeight="1" spans="1:12">
      <c r="A35" s="28">
        <v>22</v>
      </c>
      <c r="B35" s="86" t="s">
        <v>41</v>
      </c>
      <c r="C35" s="60">
        <f t="shared" si="1"/>
        <v>47</v>
      </c>
      <c r="D35" s="85">
        <v>32</v>
      </c>
      <c r="E35" s="85">
        <v>15</v>
      </c>
      <c r="F35" s="85">
        <v>500</v>
      </c>
      <c r="G35" s="85">
        <f t="shared" si="2"/>
        <v>23500</v>
      </c>
      <c r="H35" s="85">
        <v>6</v>
      </c>
      <c r="I35" s="85">
        <v>500</v>
      </c>
      <c r="J35" s="85">
        <f t="shared" si="3"/>
        <v>3000</v>
      </c>
      <c r="K35" s="60">
        <f t="shared" si="4"/>
        <v>26500</v>
      </c>
      <c r="L35" s="94"/>
    </row>
    <row r="36" s="2" customFormat="1" ht="20.25" customHeight="1" spans="1:12">
      <c r="A36" s="28">
        <v>23</v>
      </c>
      <c r="B36" s="86" t="s">
        <v>42</v>
      </c>
      <c r="C36" s="60">
        <f t="shared" si="1"/>
        <v>61</v>
      </c>
      <c r="D36" s="85">
        <v>49</v>
      </c>
      <c r="E36" s="85">
        <v>12</v>
      </c>
      <c r="F36" s="85">
        <v>500</v>
      </c>
      <c r="G36" s="85">
        <f t="shared" si="2"/>
        <v>30500</v>
      </c>
      <c r="H36" s="85">
        <v>2</v>
      </c>
      <c r="I36" s="85">
        <v>500</v>
      </c>
      <c r="J36" s="85">
        <f t="shared" si="3"/>
        <v>1000</v>
      </c>
      <c r="K36" s="60">
        <f t="shared" si="4"/>
        <v>31500</v>
      </c>
      <c r="L36" s="94"/>
    </row>
    <row r="37" s="2" customFormat="1" ht="20.25" customHeight="1" spans="1:12">
      <c r="A37" s="28">
        <v>24</v>
      </c>
      <c r="B37" s="86" t="s">
        <v>43</v>
      </c>
      <c r="C37" s="60">
        <f t="shared" si="1"/>
        <v>50</v>
      </c>
      <c r="D37" s="85">
        <v>35</v>
      </c>
      <c r="E37" s="85">
        <v>15</v>
      </c>
      <c r="F37" s="85">
        <v>500</v>
      </c>
      <c r="G37" s="85">
        <f t="shared" si="2"/>
        <v>25000</v>
      </c>
      <c r="H37" s="85"/>
      <c r="I37" s="85"/>
      <c r="J37" s="85">
        <f t="shared" si="3"/>
        <v>0</v>
      </c>
      <c r="K37" s="60">
        <f t="shared" si="4"/>
        <v>25000</v>
      </c>
      <c r="L37" s="94"/>
    </row>
    <row r="38" s="2" customFormat="1" ht="20.25" customHeight="1" spans="1:12">
      <c r="A38" s="28">
        <v>25</v>
      </c>
      <c r="B38" s="86" t="s">
        <v>44</v>
      </c>
      <c r="C38" s="60">
        <f t="shared" si="1"/>
        <v>42</v>
      </c>
      <c r="D38" s="85">
        <v>28</v>
      </c>
      <c r="E38" s="85">
        <v>14</v>
      </c>
      <c r="F38" s="85">
        <v>500</v>
      </c>
      <c r="G38" s="85">
        <f t="shared" si="2"/>
        <v>21000</v>
      </c>
      <c r="H38" s="85">
        <v>1</v>
      </c>
      <c r="I38" s="85">
        <v>500</v>
      </c>
      <c r="J38" s="85">
        <f t="shared" si="3"/>
        <v>500</v>
      </c>
      <c r="K38" s="60">
        <f t="shared" si="4"/>
        <v>21500</v>
      </c>
      <c r="L38" s="94"/>
    </row>
    <row r="39" s="2" customFormat="1" ht="20.25" customHeight="1" spans="1:12">
      <c r="A39" s="28">
        <v>26</v>
      </c>
      <c r="B39" s="86" t="s">
        <v>45</v>
      </c>
      <c r="C39" s="60">
        <f t="shared" si="1"/>
        <v>17</v>
      </c>
      <c r="D39" s="85">
        <v>9</v>
      </c>
      <c r="E39" s="85">
        <v>8</v>
      </c>
      <c r="F39" s="85">
        <v>500</v>
      </c>
      <c r="G39" s="85">
        <f t="shared" si="2"/>
        <v>8500</v>
      </c>
      <c r="H39" s="85"/>
      <c r="I39" s="85"/>
      <c r="J39" s="85">
        <f t="shared" si="3"/>
        <v>0</v>
      </c>
      <c r="K39" s="60">
        <f t="shared" si="4"/>
        <v>8500</v>
      </c>
      <c r="L39" s="94"/>
    </row>
  </sheetData>
  <protectedRanges>
    <protectedRange sqref="H9:H39" name="区域2"/>
    <protectedRange sqref="D9:E39" name="区域1"/>
  </protectedRanges>
  <mergeCells count="23">
    <mergeCell ref="A1:L1"/>
    <mergeCell ref="C3:G3"/>
    <mergeCell ref="H3:J3"/>
    <mergeCell ref="C4:E4"/>
    <mergeCell ref="A3:A5"/>
    <mergeCell ref="A14:A15"/>
    <mergeCell ref="A16:A17"/>
    <mergeCell ref="A18:A19"/>
    <mergeCell ref="A20:A21"/>
    <mergeCell ref="A22:A23"/>
    <mergeCell ref="B3:B5"/>
    <mergeCell ref="B14:B15"/>
    <mergeCell ref="B16:B17"/>
    <mergeCell ref="B18:B19"/>
    <mergeCell ref="B20:B21"/>
    <mergeCell ref="B22:B23"/>
    <mergeCell ref="F4:F5"/>
    <mergeCell ref="G4:G5"/>
    <mergeCell ref="H4:H5"/>
    <mergeCell ref="I4:I5"/>
    <mergeCell ref="J4:J5"/>
    <mergeCell ref="K3:K5"/>
    <mergeCell ref="L3:L5"/>
  </mergeCells>
  <printOptions horizontalCentered="1"/>
  <pageMargins left="0.59" right="0.39" top="0.98" bottom="0.79" header="0.51" footer="0.51"/>
  <pageSetup paperSize="9" orientation="landscape" blackAndWhite="1" verticalDpi="300"/>
  <headerFooter alignWithMargins="0">
    <oddHeader>&amp;L附件：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view="pageBreakPreview" zoomScaleNormal="100" defaultGridColor="0" colorId="0" workbookViewId="0">
      <pane topLeftCell="A1" activePane="bottomRight" state="frozenSplit"/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40"/>
  <sheetViews>
    <sheetView showZeros="0" workbookViewId="0">
      <pane xSplit="2" ySplit="7" topLeftCell="C8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18.75"/>
  <cols>
    <col min="1" max="1" width="4.125" style="36" customWidth="1"/>
    <col min="2" max="2" width="21.875" style="37" customWidth="1"/>
    <col min="3" max="6" width="9.125" style="37" customWidth="1"/>
    <col min="7" max="7" width="7.875" style="36" customWidth="1"/>
    <col min="8" max="8" width="9.125" style="36" customWidth="1"/>
    <col min="9" max="9" width="10.625" style="36" customWidth="1"/>
    <col min="10" max="10" width="9.75" style="36" customWidth="1"/>
    <col min="11" max="13" width="9.125" style="36" customWidth="1"/>
    <col min="14" max="14" width="10.5" style="36" customWidth="1"/>
    <col min="15" max="15" width="12.125" style="36" customWidth="1"/>
    <col min="16" max="16384" width="9" style="36"/>
  </cols>
  <sheetData>
    <row r="1" ht="36" customHeight="1" spans="1:13">
      <c r="A1" s="57" t="s">
        <v>46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ht="18" customHeight="1" spans="1:13">
      <c r="A2" s="58"/>
      <c r="B2" s="59"/>
      <c r="C2" s="59"/>
      <c r="D2" s="59"/>
      <c r="E2" s="59"/>
      <c r="F2" s="59"/>
      <c r="L2" s="65" t="s">
        <v>1</v>
      </c>
      <c r="M2" s="65"/>
    </row>
    <row r="3" s="34" customFormat="1" ht="19.5" customHeight="1" spans="1:13">
      <c r="A3" s="30" t="s">
        <v>2</v>
      </c>
      <c r="B3" s="31" t="s">
        <v>3</v>
      </c>
      <c r="C3" s="31" t="s">
        <v>47</v>
      </c>
      <c r="D3" s="31"/>
      <c r="E3" s="31"/>
      <c r="F3" s="31"/>
      <c r="G3" s="31"/>
      <c r="H3" s="31"/>
      <c r="I3" s="31"/>
      <c r="J3" s="31"/>
      <c r="K3" s="31"/>
      <c r="L3" s="31"/>
      <c r="M3" s="31" t="s">
        <v>7</v>
      </c>
    </row>
    <row r="4" s="34" customFormat="1" ht="19.5" customHeight="1" spans="1:13">
      <c r="A4" s="30"/>
      <c r="B4" s="31"/>
      <c r="C4" s="31" t="s">
        <v>48</v>
      </c>
      <c r="D4" s="31"/>
      <c r="E4" s="31"/>
      <c r="F4" s="31"/>
      <c r="G4" s="31" t="s">
        <v>49</v>
      </c>
      <c r="H4" s="31"/>
      <c r="I4" s="31"/>
      <c r="J4" s="31"/>
      <c r="K4" s="31"/>
      <c r="L4" s="31"/>
      <c r="M4" s="31"/>
    </row>
    <row r="5" s="34" customFormat="1" ht="19.5" customHeight="1" spans="1:13">
      <c r="A5" s="30"/>
      <c r="B5" s="31"/>
      <c r="C5" s="31" t="s">
        <v>50</v>
      </c>
      <c r="D5" s="31"/>
      <c r="E5" s="60" t="s">
        <v>51</v>
      </c>
      <c r="F5" s="30" t="s">
        <v>52</v>
      </c>
      <c r="G5" s="61" t="s">
        <v>53</v>
      </c>
      <c r="H5" s="62"/>
      <c r="I5" s="66" t="s">
        <v>54</v>
      </c>
      <c r="J5" s="66" t="s">
        <v>55</v>
      </c>
      <c r="K5" s="60" t="s">
        <v>12</v>
      </c>
      <c r="L5" s="30" t="s">
        <v>56</v>
      </c>
      <c r="M5" s="31"/>
    </row>
    <row r="6" s="34" customFormat="1" ht="14.25" spans="1:13">
      <c r="A6" s="30"/>
      <c r="B6" s="31"/>
      <c r="C6" s="31" t="s">
        <v>57</v>
      </c>
      <c r="D6" s="31" t="s">
        <v>58</v>
      </c>
      <c r="E6" s="60"/>
      <c r="F6" s="30"/>
      <c r="G6" s="31" t="s">
        <v>57</v>
      </c>
      <c r="H6" s="63" t="s">
        <v>58</v>
      </c>
      <c r="I6" s="66"/>
      <c r="J6" s="66"/>
      <c r="K6" s="60"/>
      <c r="L6" s="30"/>
      <c r="M6" s="31"/>
    </row>
    <row r="7" s="35" customFormat="1" ht="14.25" spans="1:14">
      <c r="A7" s="46"/>
      <c r="B7" s="47" t="s">
        <v>12</v>
      </c>
      <c r="C7" s="64">
        <f t="shared" ref="C7:L7" si="0">SUM(C8:C9)</f>
        <v>848</v>
      </c>
      <c r="D7" s="64">
        <f t="shared" si="0"/>
        <v>1384</v>
      </c>
      <c r="E7" s="64">
        <f t="shared" si="0"/>
        <v>2232</v>
      </c>
      <c r="F7" s="48">
        <f t="shared" si="0"/>
        <v>850312.5</v>
      </c>
      <c r="G7" s="48">
        <f t="shared" si="0"/>
        <v>322</v>
      </c>
      <c r="H7" s="48">
        <f t="shared" si="0"/>
        <v>846</v>
      </c>
      <c r="I7" s="48">
        <f t="shared" si="0"/>
        <v>818</v>
      </c>
      <c r="J7" s="48">
        <f t="shared" si="0"/>
        <v>63</v>
      </c>
      <c r="K7" s="48">
        <f t="shared" si="0"/>
        <v>2049</v>
      </c>
      <c r="L7" s="67">
        <f t="shared" si="0"/>
        <v>896312.5</v>
      </c>
      <c r="M7" s="47"/>
      <c r="N7" s="68"/>
    </row>
    <row r="8" s="34" customFormat="1" ht="14.25" spans="1:17">
      <c r="A8" s="46"/>
      <c r="B8" s="47" t="s">
        <v>16</v>
      </c>
      <c r="C8" s="64">
        <f t="shared" ref="C8:L8" si="1">SUM(C10:C15,C17,C19,C21,C23)</f>
        <v>475</v>
      </c>
      <c r="D8" s="64">
        <f t="shared" si="1"/>
        <v>335</v>
      </c>
      <c r="E8" s="64">
        <f t="shared" si="1"/>
        <v>810</v>
      </c>
      <c r="F8" s="48">
        <f t="shared" si="1"/>
        <v>401562.5</v>
      </c>
      <c r="G8" s="48">
        <f t="shared" si="1"/>
        <v>181</v>
      </c>
      <c r="H8" s="48">
        <f t="shared" si="1"/>
        <v>213</v>
      </c>
      <c r="I8" s="48">
        <f t="shared" si="1"/>
        <v>498</v>
      </c>
      <c r="J8" s="48">
        <f t="shared" si="1"/>
        <v>14</v>
      </c>
      <c r="K8" s="48">
        <f t="shared" si="1"/>
        <v>906</v>
      </c>
      <c r="L8" s="67">
        <f t="shared" si="1"/>
        <v>495312.5</v>
      </c>
      <c r="M8" s="52"/>
      <c r="N8" s="69"/>
      <c r="O8" s="70"/>
      <c r="P8" s="69"/>
      <c r="Q8" s="69"/>
    </row>
    <row r="9" s="34" customFormat="1" ht="14.25" spans="1:17">
      <c r="A9" s="46"/>
      <c r="B9" s="47" t="s">
        <v>17</v>
      </c>
      <c r="C9" s="64">
        <f t="shared" ref="C9:L9" si="2">SUM(C16,C18,C20,C22,C24,C25:C40)</f>
        <v>373</v>
      </c>
      <c r="D9" s="64">
        <f t="shared" si="2"/>
        <v>1049</v>
      </c>
      <c r="E9" s="64">
        <f t="shared" si="2"/>
        <v>1422</v>
      </c>
      <c r="F9" s="48">
        <f t="shared" si="2"/>
        <v>448750</v>
      </c>
      <c r="G9" s="48">
        <f t="shared" si="2"/>
        <v>141</v>
      </c>
      <c r="H9" s="48">
        <f t="shared" si="2"/>
        <v>633</v>
      </c>
      <c r="I9" s="48">
        <f t="shared" si="2"/>
        <v>320</v>
      </c>
      <c r="J9" s="48">
        <f t="shared" si="2"/>
        <v>49</v>
      </c>
      <c r="K9" s="48">
        <f t="shared" si="2"/>
        <v>1143</v>
      </c>
      <c r="L9" s="67">
        <f t="shared" si="2"/>
        <v>401000</v>
      </c>
      <c r="M9" s="52"/>
      <c r="N9" s="69"/>
      <c r="O9" s="70"/>
      <c r="P9" s="69"/>
      <c r="Q9" s="69"/>
    </row>
    <row r="10" s="35" customFormat="1" ht="14.25" spans="1:13">
      <c r="A10" s="47">
        <v>1</v>
      </c>
      <c r="B10" s="49" t="s">
        <v>18</v>
      </c>
      <c r="C10" s="64">
        <v>13</v>
      </c>
      <c r="D10" s="52">
        <v>86</v>
      </c>
      <c r="E10" s="64">
        <f>C10+D10</f>
        <v>99</v>
      </c>
      <c r="F10" s="48">
        <f t="shared" ref="F10:F15" si="3">C10*625+D10*625/2</f>
        <v>35000</v>
      </c>
      <c r="G10" s="48">
        <v>3</v>
      </c>
      <c r="H10" s="48">
        <v>65</v>
      </c>
      <c r="I10" s="48">
        <v>9</v>
      </c>
      <c r="J10" s="48">
        <v>1</v>
      </c>
      <c r="K10" s="48">
        <f t="shared" ref="K10:K40" si="4">SUM(G10:J10)</f>
        <v>78</v>
      </c>
      <c r="L10" s="71">
        <f t="shared" ref="L10:L15" si="5">G10*625+I10*625+H10*625/2+J10*625/2</f>
        <v>28125</v>
      </c>
      <c r="M10" s="52"/>
    </row>
    <row r="11" s="35" customFormat="1" ht="14.25" spans="1:13">
      <c r="A11" s="47">
        <v>2</v>
      </c>
      <c r="B11" s="49" t="s">
        <v>19</v>
      </c>
      <c r="C11" s="64">
        <v>58</v>
      </c>
      <c r="D11" s="52">
        <v>33</v>
      </c>
      <c r="E11" s="64">
        <f t="shared" ref="E11:E40" si="6">C11+D11</f>
        <v>91</v>
      </c>
      <c r="F11" s="48">
        <f t="shared" si="3"/>
        <v>46562.5</v>
      </c>
      <c r="G11" s="48">
        <v>22</v>
      </c>
      <c r="H11" s="48">
        <v>41</v>
      </c>
      <c r="I11" s="48">
        <v>29</v>
      </c>
      <c r="J11" s="48"/>
      <c r="K11" s="48">
        <f t="shared" si="4"/>
        <v>92</v>
      </c>
      <c r="L11" s="71">
        <f t="shared" si="5"/>
        <v>44687.5</v>
      </c>
      <c r="M11" s="52"/>
    </row>
    <row r="12" s="35" customFormat="1" ht="14.25" spans="1:13">
      <c r="A12" s="47">
        <v>3</v>
      </c>
      <c r="B12" s="49" t="s">
        <v>20</v>
      </c>
      <c r="C12" s="64">
        <v>62</v>
      </c>
      <c r="D12" s="52">
        <f>57</f>
        <v>57</v>
      </c>
      <c r="E12" s="64">
        <f t="shared" si="6"/>
        <v>119</v>
      </c>
      <c r="F12" s="48">
        <f t="shared" si="3"/>
        <v>56562.5</v>
      </c>
      <c r="G12" s="48">
        <v>24</v>
      </c>
      <c r="H12" s="48">
        <v>30</v>
      </c>
      <c r="I12" s="48">
        <f>93+12</f>
        <v>105</v>
      </c>
      <c r="J12" s="48">
        <v>4</v>
      </c>
      <c r="K12" s="48">
        <f t="shared" si="4"/>
        <v>163</v>
      </c>
      <c r="L12" s="71">
        <f t="shared" si="5"/>
        <v>91250</v>
      </c>
      <c r="M12" s="52"/>
    </row>
    <row r="13" s="35" customFormat="1" ht="14.25" spans="1:13">
      <c r="A13" s="47">
        <v>4</v>
      </c>
      <c r="B13" s="51" t="s">
        <v>21</v>
      </c>
      <c r="C13" s="64">
        <v>124</v>
      </c>
      <c r="D13" s="52">
        <v>77</v>
      </c>
      <c r="E13" s="64">
        <f t="shared" si="6"/>
        <v>201</v>
      </c>
      <c r="F13" s="48">
        <f t="shared" si="3"/>
        <v>101562.5</v>
      </c>
      <c r="G13" s="48">
        <v>24</v>
      </c>
      <c r="H13" s="48">
        <v>21</v>
      </c>
      <c r="I13" s="48">
        <v>60</v>
      </c>
      <c r="J13" s="48">
        <v>1</v>
      </c>
      <c r="K13" s="48">
        <f t="shared" si="4"/>
        <v>106</v>
      </c>
      <c r="L13" s="71">
        <f t="shared" si="5"/>
        <v>59375</v>
      </c>
      <c r="M13" s="52"/>
    </row>
    <row r="14" s="35" customFormat="1" ht="14.25" spans="1:13">
      <c r="A14" s="47">
        <v>5</v>
      </c>
      <c r="B14" s="51" t="s">
        <v>22</v>
      </c>
      <c r="C14" s="64">
        <v>68</v>
      </c>
      <c r="D14" s="52">
        <f>30-1</f>
        <v>29</v>
      </c>
      <c r="E14" s="64">
        <f t="shared" si="6"/>
        <v>97</v>
      </c>
      <c r="F14" s="48">
        <f t="shared" si="3"/>
        <v>51562.5</v>
      </c>
      <c r="G14" s="48">
        <f>56+1</f>
        <v>57</v>
      </c>
      <c r="H14" s="48">
        <v>22</v>
      </c>
      <c r="I14" s="48">
        <v>119</v>
      </c>
      <c r="J14" s="48"/>
      <c r="K14" s="48">
        <f t="shared" si="4"/>
        <v>198</v>
      </c>
      <c r="L14" s="71">
        <f t="shared" si="5"/>
        <v>116875</v>
      </c>
      <c r="M14" s="52"/>
    </row>
    <row r="15" s="35" customFormat="1" ht="14.25" spans="1:13">
      <c r="A15" s="47">
        <v>6</v>
      </c>
      <c r="B15" s="49" t="s">
        <v>23</v>
      </c>
      <c r="C15" s="64">
        <v>19</v>
      </c>
      <c r="D15" s="52">
        <v>13</v>
      </c>
      <c r="E15" s="64">
        <f t="shared" si="6"/>
        <v>32</v>
      </c>
      <c r="F15" s="48">
        <f t="shared" si="3"/>
        <v>15937.5</v>
      </c>
      <c r="G15" s="48">
        <v>2</v>
      </c>
      <c r="H15" s="48">
        <v>5</v>
      </c>
      <c r="I15" s="48">
        <v>26</v>
      </c>
      <c r="J15" s="48">
        <f>1+1</f>
        <v>2</v>
      </c>
      <c r="K15" s="48">
        <f t="shared" si="4"/>
        <v>35</v>
      </c>
      <c r="L15" s="71">
        <f t="shared" si="5"/>
        <v>19687.5</v>
      </c>
      <c r="M15" s="52" t="s">
        <v>24</v>
      </c>
    </row>
    <row r="16" s="35" customFormat="1" ht="14.25" spans="1:13">
      <c r="A16" s="47"/>
      <c r="B16" s="49"/>
      <c r="C16" s="64">
        <v>27</v>
      </c>
      <c r="D16" s="52">
        <f>34</f>
        <v>34</v>
      </c>
      <c r="E16" s="64">
        <f t="shared" si="6"/>
        <v>61</v>
      </c>
      <c r="F16" s="48">
        <f>C16*500+D16*500/2</f>
        <v>22000</v>
      </c>
      <c r="G16" s="48">
        <v>7</v>
      </c>
      <c r="H16" s="48">
        <v>9</v>
      </c>
      <c r="I16" s="48">
        <v>61</v>
      </c>
      <c r="J16" s="48">
        <f>1+2</f>
        <v>3</v>
      </c>
      <c r="K16" s="48">
        <f t="shared" si="4"/>
        <v>80</v>
      </c>
      <c r="L16" s="71">
        <f>G16*500+I16*500+H16*500/2+J16*500/2</f>
        <v>37000</v>
      </c>
      <c r="M16" s="52" t="s">
        <v>25</v>
      </c>
    </row>
    <row r="17" s="35" customFormat="1" ht="14.25" spans="1:13">
      <c r="A17" s="47">
        <v>7</v>
      </c>
      <c r="B17" s="51" t="s">
        <v>26</v>
      </c>
      <c r="C17" s="64">
        <v>24</v>
      </c>
      <c r="D17" s="52">
        <v>18</v>
      </c>
      <c r="E17" s="64">
        <f t="shared" si="6"/>
        <v>42</v>
      </c>
      <c r="F17" s="48">
        <f>C17*625+D17*625/2</f>
        <v>20625</v>
      </c>
      <c r="G17" s="48">
        <f>2+2</f>
        <v>4</v>
      </c>
      <c r="H17" s="48">
        <f>9-2</f>
        <v>7</v>
      </c>
      <c r="I17" s="48">
        <v>30</v>
      </c>
      <c r="J17" s="48">
        <f>2+3</f>
        <v>5</v>
      </c>
      <c r="K17" s="48">
        <f t="shared" si="4"/>
        <v>46</v>
      </c>
      <c r="L17" s="71">
        <f>G17*625+I17*625+H17*625/2+J17*625/2</f>
        <v>25000</v>
      </c>
      <c r="M17" s="52" t="s">
        <v>24</v>
      </c>
    </row>
    <row r="18" s="35" customFormat="1" ht="14.25" spans="1:13">
      <c r="A18" s="47"/>
      <c r="B18" s="51"/>
      <c r="C18" s="64">
        <v>7</v>
      </c>
      <c r="D18" s="52">
        <v>48</v>
      </c>
      <c r="E18" s="64">
        <f t="shared" si="6"/>
        <v>55</v>
      </c>
      <c r="F18" s="48">
        <f>C18*500+D18*500/2</f>
        <v>15500</v>
      </c>
      <c r="G18" s="48">
        <v>2</v>
      </c>
      <c r="H18" s="48">
        <v>9</v>
      </c>
      <c r="I18" s="48">
        <v>9</v>
      </c>
      <c r="J18" s="48">
        <f>1+2</f>
        <v>3</v>
      </c>
      <c r="K18" s="48">
        <f t="shared" si="4"/>
        <v>23</v>
      </c>
      <c r="L18" s="71">
        <f>G18*500+I18*500+H18*500/2+J18*500/2</f>
        <v>8500</v>
      </c>
      <c r="M18" s="52" t="s">
        <v>25</v>
      </c>
    </row>
    <row r="19" s="35" customFormat="1" ht="14.25" spans="1:13">
      <c r="A19" s="47">
        <v>8</v>
      </c>
      <c r="B19" s="51" t="s">
        <v>27</v>
      </c>
      <c r="C19" s="64">
        <v>24</v>
      </c>
      <c r="D19" s="52">
        <v>15</v>
      </c>
      <c r="E19" s="64">
        <f t="shared" si="6"/>
        <v>39</v>
      </c>
      <c r="F19" s="48">
        <f>C19*625+D19*625/2</f>
        <v>19687.5</v>
      </c>
      <c r="G19" s="48">
        <f>20+2+1</f>
        <v>23</v>
      </c>
      <c r="H19" s="48">
        <f>13-2</f>
        <v>11</v>
      </c>
      <c r="I19" s="48">
        <f>27+3</f>
        <v>30</v>
      </c>
      <c r="J19" s="48"/>
      <c r="K19" s="48">
        <f t="shared" si="4"/>
        <v>64</v>
      </c>
      <c r="L19" s="71">
        <f>G19*625+I19*625+H19*625/2+J19*625/2</f>
        <v>36562.5</v>
      </c>
      <c r="M19" s="52" t="s">
        <v>24</v>
      </c>
    </row>
    <row r="20" s="35" customFormat="1" ht="14.25" spans="1:13">
      <c r="A20" s="47"/>
      <c r="B20" s="51"/>
      <c r="C20" s="64">
        <v>9</v>
      </c>
      <c r="D20" s="52">
        <v>56</v>
      </c>
      <c r="E20" s="64">
        <f t="shared" si="6"/>
        <v>65</v>
      </c>
      <c r="F20" s="48">
        <f>C20*500+D20*500/2</f>
        <v>18500</v>
      </c>
      <c r="G20" s="48">
        <v>2</v>
      </c>
      <c r="H20" s="48">
        <f>39-2</f>
        <v>37</v>
      </c>
      <c r="I20" s="48">
        <f>4-2</f>
        <v>2</v>
      </c>
      <c r="J20" s="48">
        <v>5</v>
      </c>
      <c r="K20" s="48">
        <f t="shared" si="4"/>
        <v>46</v>
      </c>
      <c r="L20" s="71">
        <f>G20*500+I20*500+H20*500/2+J20*500/2</f>
        <v>12500</v>
      </c>
      <c r="M20" s="52" t="s">
        <v>25</v>
      </c>
    </row>
    <row r="21" s="35" customFormat="1" ht="14.25" spans="1:13">
      <c r="A21" s="47">
        <v>9</v>
      </c>
      <c r="B21" s="51" t="s">
        <v>28</v>
      </c>
      <c r="C21" s="64">
        <v>35</v>
      </c>
      <c r="D21" s="52">
        <v>6</v>
      </c>
      <c r="E21" s="64">
        <f t="shared" si="6"/>
        <v>41</v>
      </c>
      <c r="F21" s="48">
        <f>C21*625+D21*625/2</f>
        <v>23750</v>
      </c>
      <c r="G21" s="48">
        <v>14</v>
      </c>
      <c r="H21" s="48">
        <f>11-1</f>
        <v>10</v>
      </c>
      <c r="I21" s="48">
        <v>26</v>
      </c>
      <c r="J21" s="48">
        <f>1-1</f>
        <v>0</v>
      </c>
      <c r="K21" s="48">
        <f t="shared" si="4"/>
        <v>50</v>
      </c>
      <c r="L21" s="71">
        <f>G21*625+I21*625+H21*625/2+J21*625/2</f>
        <v>28125</v>
      </c>
      <c r="M21" s="52" t="s">
        <v>24</v>
      </c>
    </row>
    <row r="22" s="35" customFormat="1" ht="14.25" spans="1:13">
      <c r="A22" s="47"/>
      <c r="B22" s="51"/>
      <c r="C22" s="64">
        <v>21</v>
      </c>
      <c r="D22" s="52">
        <f>30+1</f>
        <v>31</v>
      </c>
      <c r="E22" s="64">
        <f t="shared" si="6"/>
        <v>52</v>
      </c>
      <c r="F22" s="48">
        <f>C22*500+D22*500/2</f>
        <v>18250</v>
      </c>
      <c r="G22" s="48">
        <v>12</v>
      </c>
      <c r="H22" s="48">
        <f>33-1+3</f>
        <v>35</v>
      </c>
      <c r="I22" s="48">
        <v>23</v>
      </c>
      <c r="J22" s="48">
        <v>2</v>
      </c>
      <c r="K22" s="48">
        <f t="shared" si="4"/>
        <v>72</v>
      </c>
      <c r="L22" s="71">
        <f>G22*500+I22*500+H22*500/2+J22*500/2</f>
        <v>26750</v>
      </c>
      <c r="M22" s="52" t="s">
        <v>25</v>
      </c>
    </row>
    <row r="23" s="35" customFormat="1" ht="14.25" spans="1:13">
      <c r="A23" s="47">
        <v>10</v>
      </c>
      <c r="B23" s="51" t="s">
        <v>29</v>
      </c>
      <c r="C23" s="64">
        <v>48</v>
      </c>
      <c r="D23" s="52">
        <v>1</v>
      </c>
      <c r="E23" s="64">
        <f t="shared" si="6"/>
        <v>49</v>
      </c>
      <c r="F23" s="48">
        <f>C23*625+D23*625/2</f>
        <v>30312.5</v>
      </c>
      <c r="G23" s="48">
        <v>8</v>
      </c>
      <c r="H23" s="48">
        <v>1</v>
      </c>
      <c r="I23" s="48">
        <v>64</v>
      </c>
      <c r="J23" s="48">
        <v>1</v>
      </c>
      <c r="K23" s="48">
        <f t="shared" si="4"/>
        <v>74</v>
      </c>
      <c r="L23" s="71">
        <f>G23*625+I23*625+H23*625/2+J23*625/2</f>
        <v>45625</v>
      </c>
      <c r="M23" s="52" t="s">
        <v>24</v>
      </c>
    </row>
    <row r="24" s="35" customFormat="1" ht="14.25" spans="1:13">
      <c r="A24" s="47"/>
      <c r="B24" s="51"/>
      <c r="C24" s="64">
        <v>37</v>
      </c>
      <c r="D24" s="52">
        <v>13</v>
      </c>
      <c r="E24" s="64">
        <f t="shared" si="6"/>
        <v>50</v>
      </c>
      <c r="F24" s="48">
        <f>C24*500+D24*500/2</f>
        <v>21750</v>
      </c>
      <c r="G24" s="48">
        <v>3</v>
      </c>
      <c r="H24" s="48">
        <v>5</v>
      </c>
      <c r="I24" s="48">
        <f>34+5</f>
        <v>39</v>
      </c>
      <c r="J24" s="48"/>
      <c r="K24" s="48">
        <f t="shared" si="4"/>
        <v>47</v>
      </c>
      <c r="L24" s="71">
        <f t="shared" ref="L24:L40" si="7">G24*500+I24*500+H24*500/2+J24*500/2</f>
        <v>22250</v>
      </c>
      <c r="M24" s="52" t="s">
        <v>25</v>
      </c>
    </row>
    <row r="25" s="35" customFormat="1" ht="14.25" spans="1:13">
      <c r="A25" s="47">
        <v>11</v>
      </c>
      <c r="B25" s="51" t="s">
        <v>30</v>
      </c>
      <c r="C25" s="64"/>
      <c r="D25" s="52">
        <f>52</f>
        <v>52</v>
      </c>
      <c r="E25" s="64">
        <f t="shared" si="6"/>
        <v>52</v>
      </c>
      <c r="F25" s="48">
        <f t="shared" ref="F25:F40" si="8">C25*500+D25*500/2</f>
        <v>13000</v>
      </c>
      <c r="G25" s="48"/>
      <c r="H25" s="48">
        <v>43</v>
      </c>
      <c r="I25" s="48"/>
      <c r="J25" s="48">
        <v>4</v>
      </c>
      <c r="K25" s="48">
        <f t="shared" si="4"/>
        <v>47</v>
      </c>
      <c r="L25" s="71">
        <f t="shared" si="7"/>
        <v>11750</v>
      </c>
      <c r="M25" s="52"/>
    </row>
    <row r="26" s="35" customFormat="1" ht="17.25" customHeight="1" spans="1:13">
      <c r="A26" s="47">
        <v>12</v>
      </c>
      <c r="B26" s="51" t="s">
        <v>31</v>
      </c>
      <c r="C26" s="64"/>
      <c r="D26" s="52">
        <v>131</v>
      </c>
      <c r="E26" s="64">
        <f t="shared" si="6"/>
        <v>131</v>
      </c>
      <c r="F26" s="48">
        <f t="shared" si="8"/>
        <v>32750</v>
      </c>
      <c r="G26" s="48"/>
      <c r="H26" s="48">
        <v>71</v>
      </c>
      <c r="I26" s="48"/>
      <c r="J26" s="48">
        <v>4</v>
      </c>
      <c r="K26" s="48">
        <f t="shared" si="4"/>
        <v>75</v>
      </c>
      <c r="L26" s="71">
        <f t="shared" si="7"/>
        <v>18750</v>
      </c>
      <c r="M26" s="52"/>
    </row>
    <row r="27" s="35" customFormat="1" ht="17.25" customHeight="1" spans="1:13">
      <c r="A27" s="47">
        <v>13</v>
      </c>
      <c r="B27" s="51" t="s">
        <v>32</v>
      </c>
      <c r="C27" s="64"/>
      <c r="D27" s="52">
        <v>61</v>
      </c>
      <c r="E27" s="64">
        <f t="shared" si="6"/>
        <v>61</v>
      </c>
      <c r="F27" s="48">
        <f t="shared" si="8"/>
        <v>15250</v>
      </c>
      <c r="G27" s="48"/>
      <c r="H27" s="48">
        <v>12</v>
      </c>
      <c r="I27" s="48"/>
      <c r="J27" s="48">
        <v>4</v>
      </c>
      <c r="K27" s="48">
        <f t="shared" si="4"/>
        <v>16</v>
      </c>
      <c r="L27" s="71">
        <f t="shared" si="7"/>
        <v>4000</v>
      </c>
      <c r="M27" s="52"/>
    </row>
    <row r="28" s="35" customFormat="1" ht="17.25" customHeight="1" spans="1:13">
      <c r="A28" s="47">
        <v>14</v>
      </c>
      <c r="B28" s="51" t="s">
        <v>33</v>
      </c>
      <c r="C28" s="64"/>
      <c r="D28" s="52">
        <v>36</v>
      </c>
      <c r="E28" s="64">
        <f t="shared" si="6"/>
        <v>36</v>
      </c>
      <c r="F28" s="48">
        <f t="shared" si="8"/>
        <v>9000</v>
      </c>
      <c r="G28" s="48"/>
      <c r="H28" s="48">
        <f>22+1-1+1</f>
        <v>23</v>
      </c>
      <c r="I28" s="48"/>
      <c r="J28" s="48">
        <v>4</v>
      </c>
      <c r="K28" s="48">
        <f t="shared" si="4"/>
        <v>27</v>
      </c>
      <c r="L28" s="71">
        <f t="shared" si="7"/>
        <v>6750</v>
      </c>
      <c r="M28" s="72" t="s">
        <v>59</v>
      </c>
    </row>
    <row r="29" s="35" customFormat="1" ht="17.25" customHeight="1" spans="1:13">
      <c r="A29" s="47">
        <v>15</v>
      </c>
      <c r="B29" s="51" t="s">
        <v>34</v>
      </c>
      <c r="C29" s="64">
        <v>7</v>
      </c>
      <c r="D29" s="52">
        <v>133</v>
      </c>
      <c r="E29" s="64">
        <f t="shared" si="6"/>
        <v>140</v>
      </c>
      <c r="F29" s="48">
        <f t="shared" si="8"/>
        <v>36750</v>
      </c>
      <c r="G29" s="48"/>
      <c r="H29" s="48">
        <v>63</v>
      </c>
      <c r="I29" s="48">
        <v>8</v>
      </c>
      <c r="J29" s="48">
        <f>4-3</f>
        <v>1</v>
      </c>
      <c r="K29" s="48">
        <f t="shared" si="4"/>
        <v>72</v>
      </c>
      <c r="L29" s="71">
        <f t="shared" si="7"/>
        <v>20000</v>
      </c>
      <c r="M29" s="73" t="s">
        <v>60</v>
      </c>
    </row>
    <row r="30" s="35" customFormat="1" ht="17.25" customHeight="1" spans="1:13">
      <c r="A30" s="47">
        <v>16</v>
      </c>
      <c r="B30" s="51" t="s">
        <v>35</v>
      </c>
      <c r="C30" s="64">
        <v>5</v>
      </c>
      <c r="D30" s="52">
        <f>113</f>
        <v>113</v>
      </c>
      <c r="E30" s="64">
        <f t="shared" si="6"/>
        <v>118</v>
      </c>
      <c r="F30" s="48">
        <f t="shared" si="8"/>
        <v>30750</v>
      </c>
      <c r="G30" s="48">
        <v>5</v>
      </c>
      <c r="H30" s="48">
        <v>132</v>
      </c>
      <c r="I30" s="48">
        <v>0</v>
      </c>
      <c r="J30" s="48">
        <f>10-1</f>
        <v>9</v>
      </c>
      <c r="K30" s="48">
        <f t="shared" si="4"/>
        <v>146</v>
      </c>
      <c r="L30" s="71">
        <f t="shared" si="7"/>
        <v>37750</v>
      </c>
      <c r="M30" s="52"/>
    </row>
    <row r="31" s="35" customFormat="1" ht="17.25" customHeight="1" spans="1:13">
      <c r="A31" s="47">
        <v>17</v>
      </c>
      <c r="B31" s="51" t="s">
        <v>36</v>
      </c>
      <c r="C31" s="64">
        <v>17</v>
      </c>
      <c r="D31" s="52">
        <v>24</v>
      </c>
      <c r="E31" s="64">
        <f t="shared" si="6"/>
        <v>41</v>
      </c>
      <c r="F31" s="48">
        <f t="shared" si="8"/>
        <v>14500</v>
      </c>
      <c r="G31" s="48">
        <v>15</v>
      </c>
      <c r="H31" s="48">
        <f>49-15</f>
        <v>34</v>
      </c>
      <c r="I31" s="48">
        <v>22</v>
      </c>
      <c r="J31" s="48"/>
      <c r="K31" s="48">
        <f t="shared" si="4"/>
        <v>71</v>
      </c>
      <c r="L31" s="71">
        <f t="shared" si="7"/>
        <v>27000</v>
      </c>
      <c r="M31" s="52"/>
    </row>
    <row r="32" s="35" customFormat="1" ht="17.25" customHeight="1" spans="1:13">
      <c r="A32" s="47">
        <v>18</v>
      </c>
      <c r="B32" s="51" t="s">
        <v>37</v>
      </c>
      <c r="C32" s="64">
        <v>104</v>
      </c>
      <c r="D32" s="52">
        <v>202</v>
      </c>
      <c r="E32" s="64">
        <f t="shared" si="6"/>
        <v>306</v>
      </c>
      <c r="F32" s="48">
        <f t="shared" si="8"/>
        <v>102500</v>
      </c>
      <c r="G32" s="48">
        <v>16</v>
      </c>
      <c r="H32" s="48">
        <v>59</v>
      </c>
      <c r="I32" s="48">
        <v>51</v>
      </c>
      <c r="J32" s="48"/>
      <c r="K32" s="48">
        <f t="shared" si="4"/>
        <v>126</v>
      </c>
      <c r="L32" s="71">
        <f t="shared" si="7"/>
        <v>48250</v>
      </c>
      <c r="M32" s="52"/>
    </row>
    <row r="33" s="35" customFormat="1" ht="17.25" customHeight="1" spans="1:13">
      <c r="A33" s="47">
        <v>19</v>
      </c>
      <c r="B33" s="51" t="s">
        <v>38</v>
      </c>
      <c r="C33" s="64">
        <v>7</v>
      </c>
      <c r="D33" s="52">
        <v>68</v>
      </c>
      <c r="E33" s="64">
        <f t="shared" si="6"/>
        <v>75</v>
      </c>
      <c r="F33" s="48">
        <f t="shared" si="8"/>
        <v>20500</v>
      </c>
      <c r="G33" s="48">
        <v>9</v>
      </c>
      <c r="H33" s="48">
        <v>60</v>
      </c>
      <c r="I33" s="48">
        <v>4</v>
      </c>
      <c r="J33" s="48">
        <f>2+2</f>
        <v>4</v>
      </c>
      <c r="K33" s="48">
        <f t="shared" si="4"/>
        <v>77</v>
      </c>
      <c r="L33" s="71">
        <f t="shared" si="7"/>
        <v>22500</v>
      </c>
      <c r="M33" s="52"/>
    </row>
    <row r="34" s="35" customFormat="1" ht="17.25" customHeight="1" spans="1:13">
      <c r="A34" s="47">
        <v>20</v>
      </c>
      <c r="B34" s="51" t="s">
        <v>39</v>
      </c>
      <c r="C34" s="64">
        <v>28</v>
      </c>
      <c r="D34" s="52">
        <v>18</v>
      </c>
      <c r="E34" s="64">
        <f t="shared" si="6"/>
        <v>46</v>
      </c>
      <c r="F34" s="48">
        <f t="shared" si="8"/>
        <v>18500</v>
      </c>
      <c r="G34" s="48">
        <f>6+1</f>
        <v>7</v>
      </c>
      <c r="H34" s="48">
        <v>9</v>
      </c>
      <c r="I34" s="48">
        <f>38-25</f>
        <v>13</v>
      </c>
      <c r="J34" s="48">
        <v>1</v>
      </c>
      <c r="K34" s="48">
        <f t="shared" si="4"/>
        <v>30</v>
      </c>
      <c r="L34" s="71">
        <f t="shared" si="7"/>
        <v>12500</v>
      </c>
      <c r="M34" s="52"/>
    </row>
    <row r="35" s="35" customFormat="1" ht="17.25" customHeight="1" spans="1:13">
      <c r="A35" s="47">
        <v>21</v>
      </c>
      <c r="B35" s="51" t="s">
        <v>40</v>
      </c>
      <c r="C35" s="64">
        <v>11</v>
      </c>
      <c r="D35" s="52">
        <v>8</v>
      </c>
      <c r="E35" s="64">
        <f t="shared" si="6"/>
        <v>19</v>
      </c>
      <c r="F35" s="48">
        <f t="shared" si="8"/>
        <v>7500</v>
      </c>
      <c r="G35" s="48">
        <v>5</v>
      </c>
      <c r="H35" s="48">
        <v>3</v>
      </c>
      <c r="I35" s="48">
        <v>15</v>
      </c>
      <c r="J35" s="48">
        <v>3</v>
      </c>
      <c r="K35" s="48">
        <f t="shared" si="4"/>
        <v>26</v>
      </c>
      <c r="L35" s="71">
        <f t="shared" si="7"/>
        <v>11500</v>
      </c>
      <c r="M35" s="52"/>
    </row>
    <row r="36" s="35" customFormat="1" ht="17.25" customHeight="1" spans="1:13">
      <c r="A36" s="47">
        <v>22</v>
      </c>
      <c r="B36" s="51" t="s">
        <v>41</v>
      </c>
      <c r="C36" s="64">
        <v>17</v>
      </c>
      <c r="D36" s="52">
        <v>3</v>
      </c>
      <c r="E36" s="64">
        <f t="shared" si="6"/>
        <v>20</v>
      </c>
      <c r="F36" s="48">
        <f t="shared" si="8"/>
        <v>9250</v>
      </c>
      <c r="G36" s="48">
        <v>7</v>
      </c>
      <c r="H36" s="48">
        <v>3</v>
      </c>
      <c r="I36" s="48">
        <f>16+2+2</f>
        <v>20</v>
      </c>
      <c r="J36" s="48">
        <f>4-1-2</f>
        <v>1</v>
      </c>
      <c r="K36" s="48">
        <f t="shared" si="4"/>
        <v>31</v>
      </c>
      <c r="L36" s="71">
        <f t="shared" si="7"/>
        <v>14500</v>
      </c>
      <c r="M36" s="52"/>
    </row>
    <row r="37" s="35" customFormat="1" ht="17.25" customHeight="1" spans="1:13">
      <c r="A37" s="47">
        <v>23</v>
      </c>
      <c r="B37" s="51" t="s">
        <v>42</v>
      </c>
      <c r="C37" s="64">
        <v>27</v>
      </c>
      <c r="D37" s="52">
        <v>10</v>
      </c>
      <c r="E37" s="64">
        <f t="shared" si="6"/>
        <v>37</v>
      </c>
      <c r="F37" s="48">
        <f t="shared" si="8"/>
        <v>16000</v>
      </c>
      <c r="G37" s="48">
        <v>13</v>
      </c>
      <c r="H37" s="48">
        <v>11</v>
      </c>
      <c r="I37" s="48">
        <f>13-13</f>
        <v>0</v>
      </c>
      <c r="J37" s="48"/>
      <c r="K37" s="48">
        <f t="shared" si="4"/>
        <v>24</v>
      </c>
      <c r="L37" s="71">
        <f t="shared" si="7"/>
        <v>9250</v>
      </c>
      <c r="M37" s="52"/>
    </row>
    <row r="38" s="35" customFormat="1" ht="17.25" customHeight="1" spans="1:13">
      <c r="A38" s="47">
        <v>24</v>
      </c>
      <c r="B38" s="51" t="s">
        <v>43</v>
      </c>
      <c r="C38" s="64">
        <v>19</v>
      </c>
      <c r="D38" s="52">
        <v>4</v>
      </c>
      <c r="E38" s="64">
        <f t="shared" si="6"/>
        <v>23</v>
      </c>
      <c r="F38" s="48">
        <f t="shared" si="8"/>
        <v>10500</v>
      </c>
      <c r="G38" s="48">
        <v>24</v>
      </c>
      <c r="H38" s="48">
        <v>11</v>
      </c>
      <c r="I38" s="48">
        <v>22</v>
      </c>
      <c r="J38" s="48">
        <f>3-2</f>
        <v>1</v>
      </c>
      <c r="K38" s="48">
        <f t="shared" si="4"/>
        <v>58</v>
      </c>
      <c r="L38" s="71">
        <f t="shared" si="7"/>
        <v>26000</v>
      </c>
      <c r="M38" s="52"/>
    </row>
    <row r="39" s="35" customFormat="1" ht="17.25" customHeight="1" spans="1:13">
      <c r="A39" s="47">
        <v>25</v>
      </c>
      <c r="B39" s="51" t="s">
        <v>44</v>
      </c>
      <c r="C39" s="64">
        <v>19</v>
      </c>
      <c r="D39" s="52">
        <v>2</v>
      </c>
      <c r="E39" s="64">
        <f t="shared" si="6"/>
        <v>21</v>
      </c>
      <c r="F39" s="48">
        <f t="shared" si="8"/>
        <v>10000</v>
      </c>
      <c r="G39" s="48">
        <v>12</v>
      </c>
      <c r="H39" s="48">
        <v>2</v>
      </c>
      <c r="I39" s="48">
        <v>20</v>
      </c>
      <c r="J39" s="48"/>
      <c r="K39" s="48">
        <f t="shared" si="4"/>
        <v>34</v>
      </c>
      <c r="L39" s="71">
        <f t="shared" si="7"/>
        <v>16500</v>
      </c>
      <c r="M39" s="52"/>
    </row>
    <row r="40" s="35" customFormat="1" ht="17.25" customHeight="1" spans="1:13">
      <c r="A40" s="47">
        <v>26</v>
      </c>
      <c r="B40" s="51" t="s">
        <v>45</v>
      </c>
      <c r="C40" s="64">
        <v>11</v>
      </c>
      <c r="D40" s="52">
        <v>2</v>
      </c>
      <c r="E40" s="64">
        <f t="shared" si="6"/>
        <v>13</v>
      </c>
      <c r="F40" s="48">
        <f t="shared" si="8"/>
        <v>6000</v>
      </c>
      <c r="G40" s="48">
        <v>2</v>
      </c>
      <c r="H40" s="48">
        <v>2</v>
      </c>
      <c r="I40" s="48">
        <v>11</v>
      </c>
      <c r="J40" s="48"/>
      <c r="K40" s="48">
        <f t="shared" si="4"/>
        <v>15</v>
      </c>
      <c r="L40" s="71">
        <f t="shared" si="7"/>
        <v>7000</v>
      </c>
      <c r="M40" s="52"/>
    </row>
  </sheetData>
  <mergeCells count="26">
    <mergeCell ref="A1:M1"/>
    <mergeCell ref="L2:M2"/>
    <mergeCell ref="C3:L3"/>
    <mergeCell ref="C4:F4"/>
    <mergeCell ref="G4:L4"/>
    <mergeCell ref="C5:D5"/>
    <mergeCell ref="G5:H5"/>
    <mergeCell ref="A3:A6"/>
    <mergeCell ref="A15:A16"/>
    <mergeCell ref="A17:A18"/>
    <mergeCell ref="A19:A20"/>
    <mergeCell ref="A21:A22"/>
    <mergeCell ref="A23:A24"/>
    <mergeCell ref="B3:B6"/>
    <mergeCell ref="B15:B16"/>
    <mergeCell ref="B17:B18"/>
    <mergeCell ref="B19:B20"/>
    <mergeCell ref="B21:B22"/>
    <mergeCell ref="B23:B24"/>
    <mergeCell ref="E5:E6"/>
    <mergeCell ref="F5:F6"/>
    <mergeCell ref="I5:I6"/>
    <mergeCell ref="J5:J6"/>
    <mergeCell ref="K5:K6"/>
    <mergeCell ref="L5:L6"/>
    <mergeCell ref="M3:M6"/>
  </mergeCells>
  <printOptions horizontalCentered="1"/>
  <pageMargins left="0.590551181102362" right="0.393700787401575" top="0.984251968503937" bottom="0.78740157480315" header="0.511811023622047" footer="0.511811023622047"/>
  <pageSetup paperSize="9" orientation="landscape" blackAndWhite="1" verticalDpi="300"/>
  <headerFooter alignWithMargins="0">
    <oddHeader>&amp;L附件：</oddHeader>
    <oddFooter>&amp;C第 &amp;P 页，共 &amp;N 页</oddFooter>
  </headerFooter>
  <ignoredErrors>
    <ignoredError sqref="F16:F40" formula="1"/>
    <ignoredError sqref="J17 L16:L17 L18:L36" formula="1" formulaRange="1"/>
    <ignoredError sqref="H8:L15 H37:L40 H17:I17 K17 H18:K36 H16:K1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M33"/>
  <sheetViews>
    <sheetView showZeros="0" workbookViewId="0">
      <pane xSplit="2" ySplit="5" topLeftCell="C6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21" customHeight="1"/>
  <cols>
    <col min="1" max="1" width="4.625" style="36" customWidth="1"/>
    <col min="2" max="2" width="24.625" style="37" customWidth="1"/>
    <col min="3" max="3" width="9.5" style="44" customWidth="1"/>
    <col min="4" max="4" width="9.875" style="44" customWidth="1"/>
    <col min="5" max="5" width="11.875" style="44" customWidth="1"/>
    <col min="6" max="6" width="10.875" style="44" customWidth="1"/>
    <col min="7" max="7" width="10.5" style="44" customWidth="1"/>
    <col min="8" max="8" width="9.625" style="44" customWidth="1"/>
    <col min="9" max="9" width="12" style="36" customWidth="1"/>
    <col min="10" max="10" width="17" style="36" customWidth="1"/>
    <col min="11" max="11" width="15.375" style="36" customWidth="1"/>
    <col min="12" max="16384" width="9" style="36"/>
  </cols>
  <sheetData>
    <row r="1" ht="30" customHeight="1" spans="1:8">
      <c r="A1" s="38" t="s">
        <v>61</v>
      </c>
      <c r="B1" s="38"/>
      <c r="C1" s="38"/>
      <c r="D1" s="38"/>
      <c r="E1" s="38"/>
      <c r="F1" s="38"/>
      <c r="G1" s="38"/>
      <c r="H1" s="38"/>
    </row>
    <row r="2" customFormat="1" ht="30" customHeight="1" spans="1:8">
      <c r="A2" s="45"/>
      <c r="B2" s="45"/>
      <c r="C2" s="45"/>
      <c r="D2" s="45"/>
      <c r="E2" s="45"/>
      <c r="F2" s="45"/>
      <c r="G2" s="45"/>
      <c r="H2" s="45" t="s">
        <v>1</v>
      </c>
    </row>
    <row r="3" s="34" customFormat="1" customHeight="1" spans="1:11">
      <c r="A3" s="30" t="s">
        <v>2</v>
      </c>
      <c r="B3" s="31" t="s">
        <v>3</v>
      </c>
      <c r="C3" s="31" t="s">
        <v>62</v>
      </c>
      <c r="D3" s="31"/>
      <c r="E3" s="31"/>
      <c r="F3" s="31"/>
      <c r="G3" s="31"/>
      <c r="H3" s="31" t="s">
        <v>63</v>
      </c>
      <c r="I3" s="30" t="s">
        <v>64</v>
      </c>
      <c r="J3" s="30"/>
      <c r="K3" s="31" t="s">
        <v>12</v>
      </c>
    </row>
    <row r="4" s="34" customFormat="1" customHeight="1" spans="1:11">
      <c r="A4" s="30"/>
      <c r="B4" s="31"/>
      <c r="C4" s="31" t="s">
        <v>65</v>
      </c>
      <c r="D4" s="31" t="s">
        <v>63</v>
      </c>
      <c r="E4" s="31" t="s">
        <v>66</v>
      </c>
      <c r="F4" s="31" t="s">
        <v>63</v>
      </c>
      <c r="G4" s="31" t="s">
        <v>12</v>
      </c>
      <c r="H4" s="31"/>
      <c r="I4" s="30" t="s">
        <v>65</v>
      </c>
      <c r="J4" s="31" t="s">
        <v>66</v>
      </c>
      <c r="K4" s="31"/>
    </row>
    <row r="5" s="35" customFormat="1" customHeight="1" spans="1:11">
      <c r="A5" s="46"/>
      <c r="B5" s="47" t="s">
        <v>12</v>
      </c>
      <c r="C5" s="47"/>
      <c r="D5" s="47"/>
      <c r="E5" s="47"/>
      <c r="F5" s="48"/>
      <c r="G5" s="48"/>
      <c r="H5" s="47"/>
      <c r="I5" s="31">
        <v>517500</v>
      </c>
      <c r="J5" s="31">
        <v>602500</v>
      </c>
      <c r="K5" s="31">
        <v>1120000</v>
      </c>
    </row>
    <row r="6" s="34" customFormat="1" customHeight="1" spans="1:13">
      <c r="A6" s="46">
        <v>1</v>
      </c>
      <c r="B6" s="49" t="s">
        <v>18</v>
      </c>
      <c r="C6" s="47"/>
      <c r="D6" s="47"/>
      <c r="E6" s="48">
        <v>54062.5</v>
      </c>
      <c r="F6" s="50">
        <f>E6/E32*100</f>
        <v>12.2695035460993</v>
      </c>
      <c r="G6" s="48">
        <f>C6+E6</f>
        <v>54062.5</v>
      </c>
      <c r="H6" s="50">
        <f>G6/818375*100</f>
        <v>6.60607912020773</v>
      </c>
      <c r="I6" s="32"/>
      <c r="J6" s="55">
        <f>M6*312.5</f>
        <v>74062.5</v>
      </c>
      <c r="K6" s="32">
        <f>I6+J6</f>
        <v>74062.5</v>
      </c>
      <c r="M6" s="35">
        <v>237</v>
      </c>
    </row>
    <row r="7" s="34" customFormat="1" customHeight="1" spans="1:13">
      <c r="A7" s="46">
        <v>2</v>
      </c>
      <c r="B7" s="49" t="s">
        <v>19</v>
      </c>
      <c r="C7" s="47"/>
      <c r="D7" s="47"/>
      <c r="E7" s="48">
        <v>46875</v>
      </c>
      <c r="F7" s="50">
        <f>E7/E32*100</f>
        <v>10.6382978723404</v>
      </c>
      <c r="G7" s="48">
        <f t="shared" ref="G7:G32" si="0">C7+E7</f>
        <v>46875</v>
      </c>
      <c r="H7" s="50">
        <f t="shared" ref="H7:H31" si="1">G7/818375*100</f>
        <v>5.72781426607607</v>
      </c>
      <c r="I7" s="32"/>
      <c r="J7" s="55">
        <f t="shared" ref="J7:J15" si="2">M7*312.5</f>
        <v>64062.5</v>
      </c>
      <c r="K7" s="32">
        <f t="shared" ref="K7:K31" si="3">I7+J7</f>
        <v>64062.5</v>
      </c>
      <c r="M7" s="35">
        <v>205</v>
      </c>
    </row>
    <row r="8" s="34" customFormat="1" customHeight="1" spans="1:13">
      <c r="A8" s="46">
        <v>3</v>
      </c>
      <c r="B8" s="49" t="s">
        <v>20</v>
      </c>
      <c r="C8" s="47"/>
      <c r="D8" s="47"/>
      <c r="E8" s="48">
        <v>84375</v>
      </c>
      <c r="F8" s="50">
        <f>E8/E32*100</f>
        <v>19.1489361702128</v>
      </c>
      <c r="G8" s="48">
        <f t="shared" si="0"/>
        <v>84375</v>
      </c>
      <c r="H8" s="50">
        <f t="shared" si="1"/>
        <v>10.3100656789369</v>
      </c>
      <c r="I8" s="32"/>
      <c r="J8" s="55">
        <f t="shared" si="2"/>
        <v>115312.5</v>
      </c>
      <c r="K8" s="32">
        <f t="shared" si="3"/>
        <v>115312.5</v>
      </c>
      <c r="M8" s="35">
        <v>369</v>
      </c>
    </row>
    <row r="9" s="34" customFormat="1" customHeight="1" spans="1:13">
      <c r="A9" s="46">
        <v>4</v>
      </c>
      <c r="B9" s="51" t="s">
        <v>21</v>
      </c>
      <c r="C9" s="52"/>
      <c r="D9" s="52"/>
      <c r="E9" s="48">
        <v>85625</v>
      </c>
      <c r="F9" s="50">
        <f>E9/E32*100</f>
        <v>19.4326241134752</v>
      </c>
      <c r="G9" s="48">
        <f t="shared" si="0"/>
        <v>85625</v>
      </c>
      <c r="H9" s="50">
        <f t="shared" si="1"/>
        <v>10.4628073926989</v>
      </c>
      <c r="I9" s="32"/>
      <c r="J9" s="55">
        <f t="shared" si="2"/>
        <v>117187.5</v>
      </c>
      <c r="K9" s="32">
        <f t="shared" si="3"/>
        <v>117187.5</v>
      </c>
      <c r="M9" s="35">
        <v>375</v>
      </c>
    </row>
    <row r="10" s="34" customFormat="1" customHeight="1" spans="1:13">
      <c r="A10" s="46">
        <v>5</v>
      </c>
      <c r="B10" s="51" t="s">
        <v>22</v>
      </c>
      <c r="C10" s="52"/>
      <c r="D10" s="52"/>
      <c r="E10" s="48">
        <v>55312.5</v>
      </c>
      <c r="F10" s="50">
        <f>E10/E32*100</f>
        <v>12.5531914893617</v>
      </c>
      <c r="G10" s="48">
        <f t="shared" si="0"/>
        <v>55312.5</v>
      </c>
      <c r="H10" s="50">
        <f t="shared" si="1"/>
        <v>6.75882083396976</v>
      </c>
      <c r="I10" s="32"/>
      <c r="J10" s="55">
        <f t="shared" si="2"/>
        <v>75625</v>
      </c>
      <c r="K10" s="32">
        <f t="shared" si="3"/>
        <v>75625</v>
      </c>
      <c r="M10" s="35">
        <v>242</v>
      </c>
    </row>
    <row r="11" s="34" customFormat="1" customHeight="1" spans="1:13">
      <c r="A11" s="46">
        <v>6</v>
      </c>
      <c r="B11" s="49" t="s">
        <v>27</v>
      </c>
      <c r="C11" s="47">
        <v>19250</v>
      </c>
      <c r="D11" s="53">
        <f>C11/377750*100</f>
        <v>5.09596293845136</v>
      </c>
      <c r="E11" s="47">
        <v>30625</v>
      </c>
      <c r="F11" s="50">
        <f>E11/E32*100</f>
        <v>6.95035460992908</v>
      </c>
      <c r="G11" s="48">
        <f t="shared" si="0"/>
        <v>49875</v>
      </c>
      <c r="H11" s="50">
        <f t="shared" si="1"/>
        <v>6.09439437910493</v>
      </c>
      <c r="I11" s="56">
        <f>L11*250</f>
        <v>26250</v>
      </c>
      <c r="J11" s="55">
        <f t="shared" si="2"/>
        <v>41875</v>
      </c>
      <c r="K11" s="32">
        <f t="shared" si="3"/>
        <v>68125</v>
      </c>
      <c r="L11" s="35">
        <v>105</v>
      </c>
      <c r="M11" s="35">
        <v>134</v>
      </c>
    </row>
    <row r="12" s="34" customFormat="1" customHeight="1" spans="1:13">
      <c r="A12" s="46">
        <v>7</v>
      </c>
      <c r="B12" s="49" t="s">
        <v>26</v>
      </c>
      <c r="C12" s="47">
        <v>15750</v>
      </c>
      <c r="D12" s="53">
        <f t="shared" ref="D12:D31" si="4">C12/377750*100</f>
        <v>4.16942422236929</v>
      </c>
      <c r="E12" s="47">
        <v>18750</v>
      </c>
      <c r="F12" s="50">
        <f>E12/E32*100</f>
        <v>4.25531914893617</v>
      </c>
      <c r="G12" s="48">
        <f t="shared" si="0"/>
        <v>34500</v>
      </c>
      <c r="H12" s="50">
        <f t="shared" si="1"/>
        <v>4.21567129983198</v>
      </c>
      <c r="I12" s="56">
        <f t="shared" ref="I12:I31" si="5">L12*250</f>
        <v>21500</v>
      </c>
      <c r="J12" s="55">
        <f t="shared" si="2"/>
        <v>25625</v>
      </c>
      <c r="K12" s="32">
        <f t="shared" si="3"/>
        <v>47125</v>
      </c>
      <c r="L12" s="35">
        <v>86</v>
      </c>
      <c r="M12" s="35">
        <v>82</v>
      </c>
    </row>
    <row r="13" s="34" customFormat="1" customHeight="1" spans="1:13">
      <c r="A13" s="46">
        <v>8</v>
      </c>
      <c r="B13" s="51" t="s">
        <v>23</v>
      </c>
      <c r="C13" s="48">
        <v>14250</v>
      </c>
      <c r="D13" s="53">
        <f t="shared" si="4"/>
        <v>3.77233620119126</v>
      </c>
      <c r="E13" s="48">
        <v>20312.5</v>
      </c>
      <c r="F13" s="50">
        <f>E13/E32*100</f>
        <v>4.60992907801418</v>
      </c>
      <c r="G13" s="48">
        <f t="shared" si="0"/>
        <v>34562.5</v>
      </c>
      <c r="H13" s="50">
        <f t="shared" si="1"/>
        <v>4.22330838552009</v>
      </c>
      <c r="I13" s="56">
        <f t="shared" si="5"/>
        <v>19500</v>
      </c>
      <c r="J13" s="55">
        <f t="shared" si="2"/>
        <v>27812.5</v>
      </c>
      <c r="K13" s="32">
        <f t="shared" si="3"/>
        <v>47312.5</v>
      </c>
      <c r="L13" s="35">
        <v>78</v>
      </c>
      <c r="M13" s="35">
        <v>89</v>
      </c>
    </row>
    <row r="14" s="35" customFormat="1" customHeight="1" spans="1:13">
      <c r="A14" s="46">
        <v>9</v>
      </c>
      <c r="B14" s="51" t="s">
        <v>29</v>
      </c>
      <c r="C14" s="48">
        <v>18250</v>
      </c>
      <c r="D14" s="53">
        <f t="shared" si="4"/>
        <v>4.83123759099934</v>
      </c>
      <c r="E14" s="48">
        <v>27500</v>
      </c>
      <c r="F14" s="50">
        <f>E14/E32*100</f>
        <v>6.24113475177305</v>
      </c>
      <c r="G14" s="48">
        <f t="shared" si="0"/>
        <v>45750</v>
      </c>
      <c r="H14" s="50">
        <f t="shared" si="1"/>
        <v>5.59034672369024</v>
      </c>
      <c r="I14" s="56">
        <f t="shared" si="5"/>
        <v>25500</v>
      </c>
      <c r="J14" s="55">
        <f t="shared" si="2"/>
        <v>37500</v>
      </c>
      <c r="K14" s="32">
        <f t="shared" si="3"/>
        <v>63000</v>
      </c>
      <c r="L14" s="35">
        <v>102</v>
      </c>
      <c r="M14" s="35">
        <v>120</v>
      </c>
    </row>
    <row r="15" s="35" customFormat="1" customHeight="1" spans="1:13">
      <c r="A15" s="46">
        <v>10</v>
      </c>
      <c r="B15" s="51" t="s">
        <v>28</v>
      </c>
      <c r="C15" s="48">
        <v>14750</v>
      </c>
      <c r="D15" s="53">
        <f t="shared" si="4"/>
        <v>3.90469887491727</v>
      </c>
      <c r="E15" s="48">
        <v>17187.5</v>
      </c>
      <c r="F15" s="50">
        <f>E15/E32*100</f>
        <v>3.90070921985816</v>
      </c>
      <c r="G15" s="48">
        <f t="shared" si="0"/>
        <v>31937.5</v>
      </c>
      <c r="H15" s="50">
        <f t="shared" si="1"/>
        <v>3.90255078661983</v>
      </c>
      <c r="I15" s="56">
        <f t="shared" si="5"/>
        <v>20250</v>
      </c>
      <c r="J15" s="55">
        <f t="shared" si="2"/>
        <v>23437.5</v>
      </c>
      <c r="K15" s="32">
        <f t="shared" si="3"/>
        <v>43687.5</v>
      </c>
      <c r="L15" s="35">
        <v>81</v>
      </c>
      <c r="M15" s="35">
        <v>75</v>
      </c>
    </row>
    <row r="16" s="35" customFormat="1" customHeight="1" spans="1:12">
      <c r="A16" s="46">
        <v>11</v>
      </c>
      <c r="B16" s="51" t="s">
        <v>30</v>
      </c>
      <c r="C16" s="52">
        <v>15000</v>
      </c>
      <c r="D16" s="53">
        <f t="shared" si="4"/>
        <v>3.97088021178028</v>
      </c>
      <c r="E16" s="48"/>
      <c r="F16" s="48"/>
      <c r="G16" s="48">
        <f t="shared" si="0"/>
        <v>15000</v>
      </c>
      <c r="H16" s="50">
        <f t="shared" si="1"/>
        <v>1.83290056514434</v>
      </c>
      <c r="I16" s="56">
        <f t="shared" si="5"/>
        <v>20500</v>
      </c>
      <c r="J16" s="31"/>
      <c r="K16" s="32">
        <f t="shared" si="3"/>
        <v>20500</v>
      </c>
      <c r="L16" s="35">
        <v>82</v>
      </c>
    </row>
    <row r="17" s="35" customFormat="1" customHeight="1" spans="1:12">
      <c r="A17" s="46">
        <v>12</v>
      </c>
      <c r="B17" s="51" t="s">
        <v>31</v>
      </c>
      <c r="C17" s="52">
        <v>29750</v>
      </c>
      <c r="D17" s="53">
        <f t="shared" si="4"/>
        <v>7.87557908669755</v>
      </c>
      <c r="E17" s="48"/>
      <c r="F17" s="48"/>
      <c r="G17" s="48">
        <f t="shared" si="0"/>
        <v>29750</v>
      </c>
      <c r="H17" s="50">
        <f t="shared" si="1"/>
        <v>3.63525278753628</v>
      </c>
      <c r="I17" s="56">
        <f t="shared" si="5"/>
        <v>40750</v>
      </c>
      <c r="J17" s="31"/>
      <c r="K17" s="32">
        <f t="shared" si="3"/>
        <v>40750</v>
      </c>
      <c r="L17" s="35">
        <v>163</v>
      </c>
    </row>
    <row r="18" s="35" customFormat="1" customHeight="1" spans="1:12">
      <c r="A18" s="46">
        <v>13</v>
      </c>
      <c r="B18" s="51" t="s">
        <v>34</v>
      </c>
      <c r="C18" s="52">
        <v>40500</v>
      </c>
      <c r="D18" s="53">
        <f t="shared" si="4"/>
        <v>10.7213765718068</v>
      </c>
      <c r="E18" s="48"/>
      <c r="F18" s="48"/>
      <c r="G18" s="48">
        <f t="shared" si="0"/>
        <v>40500</v>
      </c>
      <c r="H18" s="50">
        <f t="shared" si="1"/>
        <v>4.94883152588972</v>
      </c>
      <c r="I18" s="56">
        <f t="shared" si="5"/>
        <v>55500</v>
      </c>
      <c r="J18" s="31"/>
      <c r="K18" s="32">
        <f t="shared" si="3"/>
        <v>55500</v>
      </c>
      <c r="L18" s="35">
        <v>222</v>
      </c>
    </row>
    <row r="19" s="35" customFormat="1" customHeight="1" spans="1:12">
      <c r="A19" s="46">
        <v>14</v>
      </c>
      <c r="B19" s="51" t="s">
        <v>35</v>
      </c>
      <c r="C19" s="52">
        <v>31750</v>
      </c>
      <c r="D19" s="53">
        <f t="shared" si="4"/>
        <v>8.40502978160159</v>
      </c>
      <c r="E19" s="48"/>
      <c r="F19" s="48"/>
      <c r="G19" s="48">
        <f t="shared" si="0"/>
        <v>31750</v>
      </c>
      <c r="H19" s="50">
        <f t="shared" si="1"/>
        <v>3.87963952955552</v>
      </c>
      <c r="I19" s="56">
        <f t="shared" si="5"/>
        <v>43500</v>
      </c>
      <c r="J19" s="31"/>
      <c r="K19" s="32">
        <f t="shared" si="3"/>
        <v>43500</v>
      </c>
      <c r="L19" s="35">
        <v>174</v>
      </c>
    </row>
    <row r="20" s="35" customFormat="1" customHeight="1" spans="1:12">
      <c r="A20" s="46">
        <v>15</v>
      </c>
      <c r="B20" s="51" t="s">
        <v>36</v>
      </c>
      <c r="C20" s="48">
        <v>11750</v>
      </c>
      <c r="D20" s="53">
        <f t="shared" si="4"/>
        <v>3.11052283256122</v>
      </c>
      <c r="E20" s="52"/>
      <c r="F20" s="48"/>
      <c r="G20" s="48">
        <f t="shared" si="0"/>
        <v>11750</v>
      </c>
      <c r="H20" s="50">
        <f t="shared" si="1"/>
        <v>1.43577210936307</v>
      </c>
      <c r="I20" s="56">
        <f t="shared" si="5"/>
        <v>16000</v>
      </c>
      <c r="J20" s="31"/>
      <c r="K20" s="32">
        <f t="shared" si="3"/>
        <v>16000</v>
      </c>
      <c r="L20" s="35">
        <v>64</v>
      </c>
    </row>
    <row r="21" s="35" customFormat="1" customHeight="1" spans="1:12">
      <c r="A21" s="46">
        <v>16</v>
      </c>
      <c r="B21" s="51" t="s">
        <v>37</v>
      </c>
      <c r="C21" s="48">
        <v>65250</v>
      </c>
      <c r="D21" s="53">
        <f t="shared" si="4"/>
        <v>17.2733289212442</v>
      </c>
      <c r="E21" s="52"/>
      <c r="F21" s="48"/>
      <c r="G21" s="48">
        <f t="shared" si="0"/>
        <v>65250</v>
      </c>
      <c r="H21" s="50">
        <f t="shared" si="1"/>
        <v>7.97311745837788</v>
      </c>
      <c r="I21" s="56">
        <f t="shared" si="5"/>
        <v>89250</v>
      </c>
      <c r="J21" s="31"/>
      <c r="K21" s="32">
        <f t="shared" si="3"/>
        <v>89250</v>
      </c>
      <c r="L21" s="35">
        <v>357</v>
      </c>
    </row>
    <row r="22" s="35" customFormat="1" customHeight="1" spans="1:12">
      <c r="A22" s="46">
        <v>17</v>
      </c>
      <c r="B22" s="51" t="s">
        <v>38</v>
      </c>
      <c r="C22" s="48">
        <v>22750</v>
      </c>
      <c r="D22" s="53">
        <f t="shared" si="4"/>
        <v>6.02250165453342</v>
      </c>
      <c r="E22" s="52"/>
      <c r="F22" s="48"/>
      <c r="G22" s="48">
        <f t="shared" si="0"/>
        <v>22750</v>
      </c>
      <c r="H22" s="50">
        <f t="shared" si="1"/>
        <v>2.77989919046892</v>
      </c>
      <c r="I22" s="56">
        <f t="shared" si="5"/>
        <v>31250</v>
      </c>
      <c r="J22" s="31"/>
      <c r="K22" s="32">
        <f t="shared" si="3"/>
        <v>31250</v>
      </c>
      <c r="L22" s="35">
        <v>125</v>
      </c>
    </row>
    <row r="23" s="35" customFormat="1" customHeight="1" spans="1:12">
      <c r="A23" s="46">
        <v>18</v>
      </c>
      <c r="B23" s="51" t="s">
        <v>39</v>
      </c>
      <c r="C23" s="48">
        <v>10250</v>
      </c>
      <c r="D23" s="53">
        <f t="shared" si="4"/>
        <v>2.71343481138319</v>
      </c>
      <c r="E23" s="52"/>
      <c r="F23" s="48"/>
      <c r="G23" s="48">
        <f t="shared" si="0"/>
        <v>10250</v>
      </c>
      <c r="H23" s="50">
        <f t="shared" si="1"/>
        <v>1.25248205284863</v>
      </c>
      <c r="I23" s="56">
        <f t="shared" si="5"/>
        <v>14000</v>
      </c>
      <c r="J23" s="31"/>
      <c r="K23" s="32">
        <f t="shared" si="3"/>
        <v>14000</v>
      </c>
      <c r="L23" s="35">
        <v>56</v>
      </c>
    </row>
    <row r="24" s="35" customFormat="1" customHeight="1" spans="1:12">
      <c r="A24" s="46">
        <v>19</v>
      </c>
      <c r="B24" s="51" t="s">
        <v>40</v>
      </c>
      <c r="C24" s="48">
        <v>4500</v>
      </c>
      <c r="D24" s="53">
        <f t="shared" si="4"/>
        <v>1.19126406353408</v>
      </c>
      <c r="E24" s="52"/>
      <c r="F24" s="48"/>
      <c r="G24" s="48">
        <f t="shared" si="0"/>
        <v>4500</v>
      </c>
      <c r="H24" s="50">
        <f t="shared" si="1"/>
        <v>0.549870169543302</v>
      </c>
      <c r="I24" s="56">
        <f t="shared" si="5"/>
        <v>6250</v>
      </c>
      <c r="J24" s="31"/>
      <c r="K24" s="32">
        <f t="shared" si="3"/>
        <v>6250</v>
      </c>
      <c r="L24" s="35">
        <v>25</v>
      </c>
    </row>
    <row r="25" s="35" customFormat="1" customHeight="1" spans="1:12">
      <c r="A25" s="46">
        <v>20</v>
      </c>
      <c r="B25" s="51" t="s">
        <v>41</v>
      </c>
      <c r="C25" s="48">
        <v>6250</v>
      </c>
      <c r="D25" s="53">
        <f t="shared" si="4"/>
        <v>1.65453342157512</v>
      </c>
      <c r="E25" s="52"/>
      <c r="F25" s="48"/>
      <c r="G25" s="48">
        <f t="shared" si="0"/>
        <v>6250</v>
      </c>
      <c r="H25" s="50">
        <f t="shared" si="1"/>
        <v>0.763708568810142</v>
      </c>
      <c r="I25" s="56">
        <f t="shared" si="5"/>
        <v>8500</v>
      </c>
      <c r="J25" s="31"/>
      <c r="K25" s="32">
        <f t="shared" si="3"/>
        <v>8500</v>
      </c>
      <c r="L25" s="35">
        <v>34</v>
      </c>
    </row>
    <row r="26" s="35" customFormat="1" customHeight="1" spans="1:12">
      <c r="A26" s="46">
        <v>21</v>
      </c>
      <c r="B26" s="51" t="s">
        <v>42</v>
      </c>
      <c r="C26" s="48">
        <v>6750</v>
      </c>
      <c r="D26" s="53">
        <f t="shared" si="4"/>
        <v>1.78689609530113</v>
      </c>
      <c r="E26" s="52"/>
      <c r="F26" s="48"/>
      <c r="G26" s="48">
        <f t="shared" si="0"/>
        <v>6750</v>
      </c>
      <c r="H26" s="50">
        <f t="shared" si="1"/>
        <v>0.824805254314953</v>
      </c>
      <c r="I26" s="56">
        <f t="shared" si="5"/>
        <v>9250</v>
      </c>
      <c r="J26" s="31"/>
      <c r="K26" s="32">
        <f t="shared" si="3"/>
        <v>9250</v>
      </c>
      <c r="L26" s="35">
        <v>37</v>
      </c>
    </row>
    <row r="27" s="35" customFormat="1" customHeight="1" spans="1:12">
      <c r="A27" s="46">
        <v>22</v>
      </c>
      <c r="B27" s="51" t="s">
        <v>43</v>
      </c>
      <c r="C27" s="48">
        <v>8750</v>
      </c>
      <c r="D27" s="53">
        <f t="shared" si="4"/>
        <v>2.31634679020516</v>
      </c>
      <c r="E27" s="52"/>
      <c r="F27" s="48"/>
      <c r="G27" s="48">
        <f t="shared" si="0"/>
        <v>8750</v>
      </c>
      <c r="H27" s="50">
        <f t="shared" si="1"/>
        <v>1.0691919963342</v>
      </c>
      <c r="I27" s="56">
        <f t="shared" si="5"/>
        <v>12000</v>
      </c>
      <c r="J27" s="31"/>
      <c r="K27" s="32">
        <f t="shared" si="3"/>
        <v>12000</v>
      </c>
      <c r="L27" s="35">
        <v>48</v>
      </c>
    </row>
    <row r="28" s="35" customFormat="1" customHeight="1" spans="1:12">
      <c r="A28" s="46">
        <v>23</v>
      </c>
      <c r="B28" s="51" t="s">
        <v>44</v>
      </c>
      <c r="C28" s="48">
        <v>5250</v>
      </c>
      <c r="D28" s="53">
        <f t="shared" si="4"/>
        <v>1.3898080741231</v>
      </c>
      <c r="E28" s="52"/>
      <c r="F28" s="48"/>
      <c r="G28" s="48">
        <f t="shared" si="0"/>
        <v>5250</v>
      </c>
      <c r="H28" s="50">
        <f t="shared" si="1"/>
        <v>0.641515197800519</v>
      </c>
      <c r="I28" s="56">
        <f t="shared" si="5"/>
        <v>7250</v>
      </c>
      <c r="J28" s="31"/>
      <c r="K28" s="32">
        <f t="shared" si="3"/>
        <v>7250</v>
      </c>
      <c r="L28" s="35">
        <v>29</v>
      </c>
    </row>
    <row r="29" s="35" customFormat="1" customHeight="1" spans="1:12">
      <c r="A29" s="46">
        <v>24</v>
      </c>
      <c r="B29" s="51" t="s">
        <v>45</v>
      </c>
      <c r="C29" s="48">
        <v>5000</v>
      </c>
      <c r="D29" s="53">
        <f t="shared" si="4"/>
        <v>1.32362673726009</v>
      </c>
      <c r="E29" s="52"/>
      <c r="F29" s="48"/>
      <c r="G29" s="48">
        <f t="shared" si="0"/>
        <v>5000</v>
      </c>
      <c r="H29" s="50">
        <f t="shared" si="1"/>
        <v>0.610966855048114</v>
      </c>
      <c r="I29" s="56">
        <f t="shared" si="5"/>
        <v>6750</v>
      </c>
      <c r="J29" s="31"/>
      <c r="K29" s="32">
        <f t="shared" si="3"/>
        <v>6750</v>
      </c>
      <c r="L29" s="35">
        <v>27</v>
      </c>
    </row>
    <row r="30" s="35" customFormat="1" customHeight="1" spans="1:12">
      <c r="A30" s="46">
        <v>25</v>
      </c>
      <c r="B30" s="51" t="s">
        <v>32</v>
      </c>
      <c r="C30" s="48">
        <v>22250</v>
      </c>
      <c r="D30" s="53">
        <f t="shared" si="4"/>
        <v>5.89013898080741</v>
      </c>
      <c r="E30" s="52"/>
      <c r="F30" s="48"/>
      <c r="G30" s="48">
        <f t="shared" si="0"/>
        <v>22250</v>
      </c>
      <c r="H30" s="50">
        <f t="shared" si="1"/>
        <v>2.71880250496411</v>
      </c>
      <c r="I30" s="56">
        <f t="shared" si="5"/>
        <v>30500</v>
      </c>
      <c r="J30" s="31"/>
      <c r="K30" s="32">
        <f t="shared" si="3"/>
        <v>30500</v>
      </c>
      <c r="L30" s="35">
        <v>122</v>
      </c>
    </row>
    <row r="31" s="35" customFormat="1" customHeight="1" spans="1:12">
      <c r="A31" s="46">
        <v>26</v>
      </c>
      <c r="B31" s="51" t="s">
        <v>33</v>
      </c>
      <c r="C31" s="48">
        <v>9750</v>
      </c>
      <c r="D31" s="53">
        <f t="shared" si="4"/>
        <v>2.58107213765718</v>
      </c>
      <c r="E31" s="52"/>
      <c r="F31" s="48"/>
      <c r="G31" s="48">
        <f t="shared" si="0"/>
        <v>9750</v>
      </c>
      <c r="H31" s="50">
        <f t="shared" si="1"/>
        <v>1.19138536734382</v>
      </c>
      <c r="I31" s="56">
        <f t="shared" si="5"/>
        <v>13250</v>
      </c>
      <c r="J31" s="31"/>
      <c r="K31" s="32">
        <f t="shared" si="3"/>
        <v>13250</v>
      </c>
      <c r="L31" s="35">
        <v>53</v>
      </c>
    </row>
    <row r="32" customHeight="1" spans="3:13">
      <c r="C32" s="44">
        <f>SUM(C11:C31)</f>
        <v>377750</v>
      </c>
      <c r="D32" s="54">
        <f>C32/G32</f>
        <v>0.46158545898885</v>
      </c>
      <c r="E32" s="44">
        <f>SUM(E6:E31)</f>
        <v>440625</v>
      </c>
      <c r="F32" s="54">
        <f>E32/G32</f>
        <v>0.53841454101115</v>
      </c>
      <c r="G32" s="48">
        <f t="shared" si="0"/>
        <v>818375</v>
      </c>
      <c r="L32" s="36">
        <v>2068</v>
      </c>
      <c r="M32" s="36">
        <v>1928</v>
      </c>
    </row>
    <row r="33" customHeight="1" spans="4:6">
      <c r="D33" s="44">
        <f>2070*250</f>
        <v>517500</v>
      </c>
      <c r="F33" s="44">
        <f>1120000-D33</f>
        <v>602500</v>
      </c>
    </row>
  </sheetData>
  <mergeCells count="7">
    <mergeCell ref="A1:H1"/>
    <mergeCell ref="C3:F3"/>
    <mergeCell ref="I3:J3"/>
    <mergeCell ref="A3:A4"/>
    <mergeCell ref="B3:B4"/>
    <mergeCell ref="H3:H4"/>
    <mergeCell ref="K3:K4"/>
  </mergeCells>
  <printOptions horizontalCentered="1"/>
  <pageMargins left="0.236111111111111" right="0.196527777777778" top="0.984027777777778" bottom="0.786805555555556" header="0.511805555555556" footer="0.511805555555556"/>
  <pageSetup paperSize="9" orientation="portrait" blackAndWhite="1" horizontalDpi="600" verticalDpi="300"/>
  <headerFooter alignWithMargins="0">
    <oddHeader>&amp;L附件：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31"/>
  <sheetViews>
    <sheetView showZeros="0" tabSelected="1" workbookViewId="0">
      <pane xSplit="2" ySplit="5" topLeftCell="C10" activePane="bottomRight" state="frozen"/>
      <selection/>
      <selection pane="topRight"/>
      <selection pane="bottomLeft"/>
      <selection pane="bottomRight" activeCell="I12" sqref="I12"/>
    </sheetView>
  </sheetViews>
  <sheetFormatPr defaultColWidth="9" defaultRowHeight="19" customHeight="1" outlineLevelCol="4"/>
  <cols>
    <col min="1" max="1" width="4.625" style="36" customWidth="1"/>
    <col min="2" max="2" width="24.625" style="37" customWidth="1"/>
    <col min="3" max="5" width="16.625" style="36" customWidth="1"/>
    <col min="6" max="16384" width="9" style="36"/>
  </cols>
  <sheetData>
    <row r="1" ht="39" customHeight="1" spans="1:5">
      <c r="A1" s="38" t="s">
        <v>67</v>
      </c>
      <c r="B1" s="38"/>
      <c r="C1" s="38"/>
      <c r="D1" s="38"/>
      <c r="E1" s="38"/>
    </row>
    <row r="2" customFormat="1" customHeight="1" spans="1:5">
      <c r="A2" s="35"/>
      <c r="B2" s="35"/>
      <c r="C2" s="39"/>
      <c r="D2" s="39"/>
      <c r="E2" s="40" t="s">
        <v>1</v>
      </c>
    </row>
    <row r="3" s="34" customFormat="1" ht="20" customHeight="1" spans="1:5">
      <c r="A3" s="30" t="s">
        <v>2</v>
      </c>
      <c r="B3" s="31" t="s">
        <v>3</v>
      </c>
      <c r="C3" s="30" t="s">
        <v>68</v>
      </c>
      <c r="D3" s="30"/>
      <c r="E3" s="31" t="s">
        <v>12</v>
      </c>
    </row>
    <row r="4" s="34" customFormat="1" ht="20" customHeight="1" spans="1:5">
      <c r="A4" s="30"/>
      <c r="B4" s="31"/>
      <c r="C4" s="30" t="s">
        <v>65</v>
      </c>
      <c r="D4" s="31" t="s">
        <v>66</v>
      </c>
      <c r="E4" s="31"/>
    </row>
    <row r="5" s="35" customFormat="1" ht="20" customHeight="1" spans="1:5">
      <c r="A5" s="30"/>
      <c r="B5" s="31" t="s">
        <v>12</v>
      </c>
      <c r="C5" s="41">
        <v>517500</v>
      </c>
      <c r="D5" s="41">
        <v>602500</v>
      </c>
      <c r="E5" s="41">
        <v>1120000</v>
      </c>
    </row>
    <row r="6" s="34" customFormat="1" ht="20" customHeight="1" spans="1:5">
      <c r="A6" s="30">
        <v>1</v>
      </c>
      <c r="B6" s="42" t="s">
        <v>18</v>
      </c>
      <c r="C6" s="41"/>
      <c r="D6" s="41">
        <v>74062.5</v>
      </c>
      <c r="E6" s="41">
        <f t="shared" ref="E6:E31" si="0">C6+D6</f>
        <v>74062.5</v>
      </c>
    </row>
    <row r="7" s="34" customFormat="1" ht="20" customHeight="1" spans="1:5">
      <c r="A7" s="30">
        <v>2</v>
      </c>
      <c r="B7" s="42" t="s">
        <v>19</v>
      </c>
      <c r="C7" s="41"/>
      <c r="D7" s="41">
        <v>64062.5</v>
      </c>
      <c r="E7" s="41">
        <f t="shared" si="0"/>
        <v>64062.5</v>
      </c>
    </row>
    <row r="8" s="34" customFormat="1" ht="20" customHeight="1" spans="1:5">
      <c r="A8" s="30">
        <v>3</v>
      </c>
      <c r="B8" s="42" t="s">
        <v>20</v>
      </c>
      <c r="C8" s="41"/>
      <c r="D8" s="41">
        <v>115312.5</v>
      </c>
      <c r="E8" s="41">
        <f t="shared" si="0"/>
        <v>115312.5</v>
      </c>
    </row>
    <row r="9" s="34" customFormat="1" ht="20" customHeight="1" spans="1:5">
      <c r="A9" s="30">
        <v>4</v>
      </c>
      <c r="B9" s="43" t="s">
        <v>21</v>
      </c>
      <c r="C9" s="41"/>
      <c r="D9" s="41">
        <v>117187.5</v>
      </c>
      <c r="E9" s="41">
        <f t="shared" si="0"/>
        <v>117187.5</v>
      </c>
    </row>
    <row r="10" s="34" customFormat="1" ht="20" customHeight="1" spans="1:5">
      <c r="A10" s="30">
        <v>5</v>
      </c>
      <c r="B10" s="43" t="s">
        <v>22</v>
      </c>
      <c r="C10" s="41"/>
      <c r="D10" s="41">
        <v>75625</v>
      </c>
      <c r="E10" s="41">
        <f t="shared" si="0"/>
        <v>75625</v>
      </c>
    </row>
    <row r="11" s="34" customFormat="1" ht="20" customHeight="1" spans="1:5">
      <c r="A11" s="30">
        <v>6</v>
      </c>
      <c r="B11" s="42" t="s">
        <v>27</v>
      </c>
      <c r="C11" s="41">
        <v>26250</v>
      </c>
      <c r="D11" s="41">
        <v>41875</v>
      </c>
      <c r="E11" s="41">
        <f t="shared" si="0"/>
        <v>68125</v>
      </c>
    </row>
    <row r="12" s="34" customFormat="1" ht="20" customHeight="1" spans="1:5">
      <c r="A12" s="30">
        <v>7</v>
      </c>
      <c r="B12" s="42" t="s">
        <v>26</v>
      </c>
      <c r="C12" s="41">
        <v>21500</v>
      </c>
      <c r="D12" s="41">
        <v>25625</v>
      </c>
      <c r="E12" s="41">
        <f t="shared" si="0"/>
        <v>47125</v>
      </c>
    </row>
    <row r="13" s="34" customFormat="1" ht="20" customHeight="1" spans="1:5">
      <c r="A13" s="30">
        <v>8</v>
      </c>
      <c r="B13" s="43" t="s">
        <v>23</v>
      </c>
      <c r="C13" s="41">
        <v>19500</v>
      </c>
      <c r="D13" s="41">
        <v>27812.5</v>
      </c>
      <c r="E13" s="41">
        <f t="shared" si="0"/>
        <v>47312.5</v>
      </c>
    </row>
    <row r="14" s="35" customFormat="1" ht="20" customHeight="1" spans="1:5">
      <c r="A14" s="30">
        <v>9</v>
      </c>
      <c r="B14" s="43" t="s">
        <v>29</v>
      </c>
      <c r="C14" s="41">
        <v>25500</v>
      </c>
      <c r="D14" s="41">
        <v>37500</v>
      </c>
      <c r="E14" s="41">
        <f t="shared" si="0"/>
        <v>63000</v>
      </c>
    </row>
    <row r="15" s="35" customFormat="1" ht="20" customHeight="1" spans="1:5">
      <c r="A15" s="30">
        <v>10</v>
      </c>
      <c r="B15" s="43" t="s">
        <v>28</v>
      </c>
      <c r="C15" s="41">
        <v>20250</v>
      </c>
      <c r="D15" s="41">
        <v>23437.5</v>
      </c>
      <c r="E15" s="41">
        <f t="shared" si="0"/>
        <v>43687.5</v>
      </c>
    </row>
    <row r="16" s="35" customFormat="1" ht="20" customHeight="1" spans="1:5">
      <c r="A16" s="30">
        <v>11</v>
      </c>
      <c r="B16" s="43" t="s">
        <v>30</v>
      </c>
      <c r="C16" s="41">
        <v>20500</v>
      </c>
      <c r="D16" s="41"/>
      <c r="E16" s="41">
        <f t="shared" si="0"/>
        <v>20500</v>
      </c>
    </row>
    <row r="17" s="35" customFormat="1" ht="20" customHeight="1" spans="1:5">
      <c r="A17" s="30">
        <v>12</v>
      </c>
      <c r="B17" s="43" t="s">
        <v>31</v>
      </c>
      <c r="C17" s="41">
        <v>40750</v>
      </c>
      <c r="D17" s="41"/>
      <c r="E17" s="41">
        <f t="shared" si="0"/>
        <v>40750</v>
      </c>
    </row>
    <row r="18" s="35" customFormat="1" ht="20" customHeight="1" spans="1:5">
      <c r="A18" s="30">
        <v>13</v>
      </c>
      <c r="B18" s="43" t="s">
        <v>34</v>
      </c>
      <c r="C18" s="41">
        <v>55500</v>
      </c>
      <c r="D18" s="41"/>
      <c r="E18" s="41">
        <f t="shared" si="0"/>
        <v>55500</v>
      </c>
    </row>
    <row r="19" s="35" customFormat="1" ht="20" customHeight="1" spans="1:5">
      <c r="A19" s="30">
        <v>14</v>
      </c>
      <c r="B19" s="43" t="s">
        <v>35</v>
      </c>
      <c r="C19" s="41">
        <v>43500</v>
      </c>
      <c r="D19" s="41"/>
      <c r="E19" s="41">
        <f t="shared" si="0"/>
        <v>43500</v>
      </c>
    </row>
    <row r="20" s="35" customFormat="1" ht="20" customHeight="1" spans="1:5">
      <c r="A20" s="30">
        <v>15</v>
      </c>
      <c r="B20" s="43" t="s">
        <v>36</v>
      </c>
      <c r="C20" s="41">
        <v>16000</v>
      </c>
      <c r="D20" s="41"/>
      <c r="E20" s="41">
        <f t="shared" si="0"/>
        <v>16000</v>
      </c>
    </row>
    <row r="21" s="35" customFormat="1" ht="20" customHeight="1" spans="1:5">
      <c r="A21" s="30">
        <v>16</v>
      </c>
      <c r="B21" s="43" t="s">
        <v>37</v>
      </c>
      <c r="C21" s="41">
        <v>89250</v>
      </c>
      <c r="D21" s="41"/>
      <c r="E21" s="41">
        <f t="shared" si="0"/>
        <v>89250</v>
      </c>
    </row>
    <row r="22" s="35" customFormat="1" ht="20" customHeight="1" spans="1:5">
      <c r="A22" s="30">
        <v>17</v>
      </c>
      <c r="B22" s="43" t="s">
        <v>38</v>
      </c>
      <c r="C22" s="41">
        <v>31250</v>
      </c>
      <c r="D22" s="41"/>
      <c r="E22" s="41">
        <f t="shared" si="0"/>
        <v>31250</v>
      </c>
    </row>
    <row r="23" s="35" customFormat="1" ht="20" customHeight="1" spans="1:5">
      <c r="A23" s="30">
        <v>18</v>
      </c>
      <c r="B23" s="43" t="s">
        <v>39</v>
      </c>
      <c r="C23" s="41">
        <v>14000</v>
      </c>
      <c r="D23" s="41"/>
      <c r="E23" s="41">
        <f t="shared" si="0"/>
        <v>14000</v>
      </c>
    </row>
    <row r="24" s="35" customFormat="1" ht="20" customHeight="1" spans="1:5">
      <c r="A24" s="30">
        <v>19</v>
      </c>
      <c r="B24" s="43" t="s">
        <v>40</v>
      </c>
      <c r="C24" s="41">
        <v>6250</v>
      </c>
      <c r="D24" s="41"/>
      <c r="E24" s="41">
        <f t="shared" si="0"/>
        <v>6250</v>
      </c>
    </row>
    <row r="25" s="35" customFormat="1" ht="20" customHeight="1" spans="1:5">
      <c r="A25" s="30">
        <v>20</v>
      </c>
      <c r="B25" s="43" t="s">
        <v>41</v>
      </c>
      <c r="C25" s="41">
        <v>8500</v>
      </c>
      <c r="D25" s="41"/>
      <c r="E25" s="41">
        <f t="shared" si="0"/>
        <v>8500</v>
      </c>
    </row>
    <row r="26" s="35" customFormat="1" ht="20" customHeight="1" spans="1:5">
      <c r="A26" s="30">
        <v>21</v>
      </c>
      <c r="B26" s="43" t="s">
        <v>42</v>
      </c>
      <c r="C26" s="41">
        <v>9250</v>
      </c>
      <c r="D26" s="41"/>
      <c r="E26" s="41">
        <f t="shared" si="0"/>
        <v>9250</v>
      </c>
    </row>
    <row r="27" s="35" customFormat="1" ht="20" customHeight="1" spans="1:5">
      <c r="A27" s="30">
        <v>22</v>
      </c>
      <c r="B27" s="43" t="s">
        <v>43</v>
      </c>
      <c r="C27" s="41">
        <v>12000</v>
      </c>
      <c r="D27" s="41"/>
      <c r="E27" s="41">
        <f t="shared" si="0"/>
        <v>12000</v>
      </c>
    </row>
    <row r="28" s="35" customFormat="1" ht="20" customHeight="1" spans="1:5">
      <c r="A28" s="30">
        <v>23</v>
      </c>
      <c r="B28" s="43" t="s">
        <v>44</v>
      </c>
      <c r="C28" s="41">
        <v>7250</v>
      </c>
      <c r="D28" s="41"/>
      <c r="E28" s="41">
        <f t="shared" si="0"/>
        <v>7250</v>
      </c>
    </row>
    <row r="29" s="35" customFormat="1" ht="20" customHeight="1" spans="1:5">
      <c r="A29" s="30">
        <v>24</v>
      </c>
      <c r="B29" s="43" t="s">
        <v>45</v>
      </c>
      <c r="C29" s="41">
        <v>6750</v>
      </c>
      <c r="D29" s="41"/>
      <c r="E29" s="41">
        <f t="shared" si="0"/>
        <v>6750</v>
      </c>
    </row>
    <row r="30" s="35" customFormat="1" ht="20" customHeight="1" spans="1:5">
      <c r="A30" s="30">
        <v>25</v>
      </c>
      <c r="B30" s="43" t="s">
        <v>32</v>
      </c>
      <c r="C30" s="41">
        <v>30500</v>
      </c>
      <c r="D30" s="41"/>
      <c r="E30" s="41">
        <f t="shared" si="0"/>
        <v>30500</v>
      </c>
    </row>
    <row r="31" s="35" customFormat="1" ht="20" customHeight="1" spans="1:5">
      <c r="A31" s="30">
        <v>26</v>
      </c>
      <c r="B31" s="43" t="s">
        <v>33</v>
      </c>
      <c r="C31" s="41">
        <v>13250</v>
      </c>
      <c r="D31" s="41"/>
      <c r="E31" s="41">
        <f t="shared" si="0"/>
        <v>13250</v>
      </c>
    </row>
  </sheetData>
  <mergeCells count="5">
    <mergeCell ref="A1:E1"/>
    <mergeCell ref="C3:D3"/>
    <mergeCell ref="A3:A4"/>
    <mergeCell ref="B3:B4"/>
    <mergeCell ref="E3:E4"/>
  </mergeCells>
  <printOptions horizontalCentered="1"/>
  <pageMargins left="0.236111111111111" right="0.196527777777778" top="0.984027777777778" bottom="0.786805555555556" header="0.511805555555556" footer="0.511805555555556"/>
  <pageSetup paperSize="9" orientation="portrait" blackAndWhite="1" horizontalDpi="600" verticalDpi="300"/>
  <headerFooter alignWithMargins="0">
    <oddHeader>&amp;L附件：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Q31"/>
  <sheetViews>
    <sheetView showZeros="0" workbookViewId="0">
      <pane xSplit="1" ySplit="1" topLeftCell="B17" activePane="bottomRight" state="frozen"/>
      <selection/>
      <selection pane="topRight"/>
      <selection pane="bottomLeft"/>
      <selection pane="bottomRight" activeCell="J14" sqref="J14"/>
    </sheetView>
  </sheetViews>
  <sheetFormatPr defaultColWidth="9" defaultRowHeight="18.75"/>
  <cols>
    <col min="1" max="1" width="5.375" style="3" customWidth="1"/>
    <col min="2" max="2" width="25.375" style="4" customWidth="1"/>
    <col min="3" max="3" width="10.375" style="3" customWidth="1"/>
    <col min="4" max="5" width="10.25" style="3" customWidth="1"/>
    <col min="6" max="6" width="12.375" style="3" customWidth="1"/>
    <col min="7" max="7" width="10.5" style="3" customWidth="1"/>
    <col min="8" max="16384" width="9" style="3"/>
  </cols>
  <sheetData>
    <row r="1" ht="65.25" customHeight="1" spans="1:6">
      <c r="A1" s="5" t="s">
        <v>69</v>
      </c>
      <c r="B1" s="5"/>
      <c r="C1" s="5"/>
      <c r="D1" s="5"/>
      <c r="E1" s="5"/>
      <c r="F1" s="5"/>
    </row>
    <row r="2" ht="18" customHeight="1" spans="1:6">
      <c r="A2" s="6"/>
      <c r="B2" s="7"/>
      <c r="F2" s="8" t="s">
        <v>1</v>
      </c>
    </row>
    <row r="3" ht="19.5" customHeight="1" spans="1:6">
      <c r="A3" s="9" t="s">
        <v>2</v>
      </c>
      <c r="B3" s="10" t="s">
        <v>70</v>
      </c>
      <c r="C3" s="11" t="s">
        <v>71</v>
      </c>
      <c r="D3" s="9" t="s">
        <v>72</v>
      </c>
      <c r="E3" s="10" t="s">
        <v>73</v>
      </c>
      <c r="F3" s="12" t="s">
        <v>7</v>
      </c>
    </row>
    <row r="4" ht="14.25" customHeight="1" spans="1:17">
      <c r="A4" s="9"/>
      <c r="B4" s="13"/>
      <c r="C4" s="14"/>
      <c r="D4" s="9"/>
      <c r="E4" s="13"/>
      <c r="F4" s="12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customHeight="1" spans="1:17">
      <c r="A5" s="15"/>
      <c r="B5" s="12" t="s">
        <v>15</v>
      </c>
      <c r="C5" s="16">
        <f>SUM(C6:C7)</f>
        <v>2679</v>
      </c>
      <c r="D5" s="17"/>
      <c r="E5" s="18">
        <f>SUM(E6:E7)</f>
        <v>1460000</v>
      </c>
      <c r="F5" s="12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customHeight="1" spans="1:17">
      <c r="A6" s="15"/>
      <c r="B6" s="19" t="s">
        <v>16</v>
      </c>
      <c r="C6" s="18">
        <f>SUM(C8:C14,C16,C18,C20)</f>
        <v>1395</v>
      </c>
      <c r="D6" s="18">
        <v>625</v>
      </c>
      <c r="E6" s="18">
        <f>SUM(E8:E14,E16,E18,E20)</f>
        <v>871875</v>
      </c>
      <c r="F6" s="12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customHeight="1" spans="1:17">
      <c r="A7" s="15"/>
      <c r="B7" s="19" t="s">
        <v>17</v>
      </c>
      <c r="C7" s="18">
        <f>SUM(C22:C31,C15,C17,C19,C21)</f>
        <v>1284</v>
      </c>
      <c r="D7" s="18">
        <v>500</v>
      </c>
      <c r="E7" s="18">
        <f>SUM(E22:E31,E15,E17,E19,E21)</f>
        <v>588125</v>
      </c>
      <c r="F7" s="12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="1" customFormat="1" customHeight="1" spans="1:6">
      <c r="A8" s="12">
        <v>1</v>
      </c>
      <c r="B8" s="19" t="s">
        <v>19</v>
      </c>
      <c r="C8" s="18">
        <f>262-6</f>
        <v>256</v>
      </c>
      <c r="D8" s="18">
        <v>625</v>
      </c>
      <c r="E8" s="16">
        <f>C8*D8</f>
        <v>160000</v>
      </c>
      <c r="F8" s="12"/>
    </row>
    <row r="9" s="1" customFormat="1" customHeight="1" spans="1:6">
      <c r="A9" s="12">
        <v>2</v>
      </c>
      <c r="B9" s="19" t="s">
        <v>18</v>
      </c>
      <c r="C9" s="18">
        <v>27</v>
      </c>
      <c r="D9" s="18">
        <v>625</v>
      </c>
      <c r="E9" s="16">
        <f t="shared" ref="E9:E30" si="0">C9*D9</f>
        <v>16875</v>
      </c>
      <c r="F9" s="12"/>
    </row>
    <row r="10" s="1" customFormat="1" customHeight="1" spans="1:6">
      <c r="A10" s="12">
        <v>3</v>
      </c>
      <c r="B10" s="19" t="s">
        <v>20</v>
      </c>
      <c r="C10" s="18">
        <v>254</v>
      </c>
      <c r="D10" s="18">
        <v>625</v>
      </c>
      <c r="E10" s="16">
        <f t="shared" si="0"/>
        <v>158750</v>
      </c>
      <c r="F10" s="12"/>
    </row>
    <row r="11" s="1" customFormat="1" customHeight="1" spans="1:6">
      <c r="A11" s="12">
        <v>4</v>
      </c>
      <c r="B11" s="19" t="s">
        <v>74</v>
      </c>
      <c r="C11" s="18">
        <f>55+6</f>
        <v>61</v>
      </c>
      <c r="D11" s="18">
        <v>625</v>
      </c>
      <c r="E11" s="16">
        <f t="shared" si="0"/>
        <v>38125</v>
      </c>
      <c r="F11" s="12"/>
    </row>
    <row r="12" s="1" customFormat="1" customHeight="1" spans="1:6">
      <c r="A12" s="12">
        <v>5</v>
      </c>
      <c r="B12" s="19" t="s">
        <v>21</v>
      </c>
      <c r="C12" s="18">
        <v>185</v>
      </c>
      <c r="D12" s="18">
        <v>625</v>
      </c>
      <c r="E12" s="16">
        <f t="shared" si="0"/>
        <v>115625</v>
      </c>
      <c r="F12" s="12"/>
    </row>
    <row r="13" s="1" customFormat="1" customHeight="1" spans="1:6">
      <c r="A13" s="12">
        <v>6</v>
      </c>
      <c r="B13" s="20" t="s">
        <v>22</v>
      </c>
      <c r="C13" s="18">
        <v>333</v>
      </c>
      <c r="D13" s="18">
        <v>625</v>
      </c>
      <c r="E13" s="16">
        <f t="shared" si="0"/>
        <v>208125</v>
      </c>
      <c r="F13" s="12"/>
    </row>
    <row r="14" s="1" customFormat="1" customHeight="1" spans="1:6">
      <c r="A14" s="10">
        <v>7</v>
      </c>
      <c r="B14" s="21" t="s">
        <v>26</v>
      </c>
      <c r="C14" s="18">
        <v>59</v>
      </c>
      <c r="D14" s="18">
        <v>625</v>
      </c>
      <c r="E14" s="16">
        <f t="shared" si="0"/>
        <v>36875</v>
      </c>
      <c r="F14" s="12" t="s">
        <v>75</v>
      </c>
    </row>
    <row r="15" s="1" customFormat="1" customHeight="1" spans="1:6">
      <c r="A15" s="13"/>
      <c r="B15" s="22"/>
      <c r="C15" s="18">
        <v>63</v>
      </c>
      <c r="D15" s="18">
        <v>500</v>
      </c>
      <c r="E15" s="16">
        <f t="shared" si="0"/>
        <v>31500</v>
      </c>
      <c r="F15" s="12" t="s">
        <v>76</v>
      </c>
    </row>
    <row r="16" s="1" customFormat="1" customHeight="1" spans="1:6">
      <c r="A16" s="10">
        <v>8</v>
      </c>
      <c r="B16" s="23" t="s">
        <v>77</v>
      </c>
      <c r="C16" s="18">
        <v>81</v>
      </c>
      <c r="D16" s="18">
        <v>625</v>
      </c>
      <c r="E16" s="16">
        <f t="shared" si="0"/>
        <v>50625</v>
      </c>
      <c r="F16" s="12" t="s">
        <v>24</v>
      </c>
    </row>
    <row r="17" s="1" customFormat="1" customHeight="1" spans="1:6">
      <c r="A17" s="13"/>
      <c r="B17" s="24"/>
      <c r="C17" s="18">
        <v>20</v>
      </c>
      <c r="D17" s="25">
        <v>500</v>
      </c>
      <c r="E17" s="16">
        <f t="shared" si="0"/>
        <v>10000</v>
      </c>
      <c r="F17" s="12" t="s">
        <v>25</v>
      </c>
    </row>
    <row r="18" s="1" customFormat="1" customHeight="1" spans="1:6">
      <c r="A18" s="26">
        <v>9</v>
      </c>
      <c r="B18" s="27" t="s">
        <v>28</v>
      </c>
      <c r="C18" s="18">
        <v>65</v>
      </c>
      <c r="D18" s="18">
        <v>625</v>
      </c>
      <c r="E18" s="16">
        <f t="shared" si="0"/>
        <v>40625</v>
      </c>
      <c r="F18" s="12" t="s">
        <v>24</v>
      </c>
    </row>
    <row r="19" s="1" customFormat="1" customHeight="1" spans="1:6">
      <c r="A19" s="28"/>
      <c r="B19" s="29"/>
      <c r="C19" s="18">
        <v>92</v>
      </c>
      <c r="D19" s="25">
        <v>500</v>
      </c>
      <c r="E19" s="16">
        <f t="shared" si="0"/>
        <v>46000</v>
      </c>
      <c r="F19" s="30" t="s">
        <v>25</v>
      </c>
    </row>
    <row r="20" s="1" customFormat="1" customHeight="1" spans="1:6">
      <c r="A20" s="10">
        <v>10</v>
      </c>
      <c r="B20" s="23" t="s">
        <v>29</v>
      </c>
      <c r="C20" s="18">
        <f>74+6-6</f>
        <v>74</v>
      </c>
      <c r="D20" s="18">
        <v>625</v>
      </c>
      <c r="E20" s="16">
        <f t="shared" si="0"/>
        <v>46250</v>
      </c>
      <c r="F20" s="12" t="s">
        <v>24</v>
      </c>
    </row>
    <row r="21" s="1" customFormat="1" customHeight="1" spans="1:6">
      <c r="A21" s="13"/>
      <c r="B21" s="24"/>
      <c r="C21" s="18">
        <f>90+4</f>
        <v>94</v>
      </c>
      <c r="D21" s="25">
        <v>500</v>
      </c>
      <c r="E21" s="16">
        <f t="shared" si="0"/>
        <v>47000</v>
      </c>
      <c r="F21" s="12" t="s">
        <v>25</v>
      </c>
    </row>
    <row r="22" s="2" customFormat="1" customHeight="1" spans="1:6">
      <c r="A22" s="31">
        <v>11</v>
      </c>
      <c r="B22" s="32" t="s">
        <v>34</v>
      </c>
      <c r="C22" s="18">
        <v>64</v>
      </c>
      <c r="D22" s="25">
        <v>500</v>
      </c>
      <c r="E22" s="16">
        <f t="shared" si="0"/>
        <v>32000</v>
      </c>
      <c r="F22" s="31" t="s">
        <v>60</v>
      </c>
    </row>
    <row r="23" s="2" customFormat="1" customHeight="1" spans="1:6">
      <c r="A23" s="31">
        <v>12</v>
      </c>
      <c r="B23" s="32" t="s">
        <v>35</v>
      </c>
      <c r="C23" s="18">
        <v>76</v>
      </c>
      <c r="D23" s="25">
        <v>500</v>
      </c>
      <c r="E23" s="16">
        <f t="shared" si="0"/>
        <v>38000</v>
      </c>
      <c r="F23" s="30"/>
    </row>
    <row r="24" s="2" customFormat="1" customHeight="1" spans="1:6">
      <c r="A24" s="31">
        <v>13</v>
      </c>
      <c r="B24" s="32" t="s">
        <v>78</v>
      </c>
      <c r="C24" s="18">
        <f>60+4+13</f>
        <v>77</v>
      </c>
      <c r="D24" s="25">
        <v>500</v>
      </c>
      <c r="E24" s="16">
        <f t="shared" si="0"/>
        <v>38500</v>
      </c>
      <c r="F24" s="31"/>
    </row>
    <row r="25" s="2" customFormat="1" customHeight="1" spans="1:6">
      <c r="A25" s="31">
        <v>15</v>
      </c>
      <c r="B25" s="32" t="s">
        <v>36</v>
      </c>
      <c r="C25" s="18">
        <v>100</v>
      </c>
      <c r="D25" s="25">
        <v>500</v>
      </c>
      <c r="E25" s="16">
        <f t="shared" si="0"/>
        <v>50000</v>
      </c>
      <c r="F25" s="31"/>
    </row>
    <row r="26" s="2" customFormat="1" customHeight="1" spans="1:6">
      <c r="A26" s="31">
        <v>16</v>
      </c>
      <c r="B26" s="33" t="s">
        <v>37</v>
      </c>
      <c r="C26" s="18">
        <f>252+13-13</f>
        <v>252</v>
      </c>
      <c r="D26" s="25">
        <v>500</v>
      </c>
      <c r="E26" s="16">
        <f t="shared" si="0"/>
        <v>126000</v>
      </c>
      <c r="F26" s="31"/>
    </row>
    <row r="27" s="2" customFormat="1" customHeight="1" spans="1:6">
      <c r="A27" s="31">
        <v>17</v>
      </c>
      <c r="B27" s="33" t="s">
        <v>38</v>
      </c>
      <c r="C27" s="18">
        <v>55</v>
      </c>
      <c r="D27" s="25">
        <v>500</v>
      </c>
      <c r="E27" s="16">
        <f t="shared" si="0"/>
        <v>27500</v>
      </c>
      <c r="F27" s="31"/>
    </row>
    <row r="28" s="2" customFormat="1" customHeight="1" spans="1:6">
      <c r="A28" s="31">
        <v>18</v>
      </c>
      <c r="B28" s="33" t="s">
        <v>39</v>
      </c>
      <c r="C28" s="18">
        <f>109-21</f>
        <v>88</v>
      </c>
      <c r="D28" s="25">
        <v>500</v>
      </c>
      <c r="E28" s="16">
        <f t="shared" si="0"/>
        <v>44000</v>
      </c>
      <c r="F28" s="31"/>
    </row>
    <row r="29" s="2" customFormat="1" customHeight="1" spans="1:6">
      <c r="A29" s="31">
        <v>19</v>
      </c>
      <c r="B29" s="32" t="s">
        <v>40</v>
      </c>
      <c r="C29" s="18">
        <v>64</v>
      </c>
      <c r="D29" s="25">
        <v>500</v>
      </c>
      <c r="E29" s="16">
        <f t="shared" si="0"/>
        <v>32000</v>
      </c>
      <c r="F29" s="31"/>
    </row>
    <row r="30" s="2" customFormat="1" customHeight="1" spans="1:6">
      <c r="A30" s="31">
        <v>20</v>
      </c>
      <c r="B30" s="32" t="s">
        <v>41</v>
      </c>
      <c r="C30" s="18">
        <v>118</v>
      </c>
      <c r="D30" s="25">
        <v>500</v>
      </c>
      <c r="E30" s="16">
        <f t="shared" si="0"/>
        <v>59000</v>
      </c>
      <c r="F30" s="31"/>
    </row>
    <row r="31" s="2" customFormat="1" customHeight="1" spans="1:6">
      <c r="A31" s="31">
        <v>21</v>
      </c>
      <c r="B31" s="32" t="s">
        <v>42</v>
      </c>
      <c r="C31" s="18">
        <v>121</v>
      </c>
      <c r="D31" s="25">
        <v>500</v>
      </c>
      <c r="E31" s="16">
        <f>60500-53875</f>
        <v>6625</v>
      </c>
      <c r="F31" s="31"/>
    </row>
  </sheetData>
  <mergeCells count="15">
    <mergeCell ref="A1:F1"/>
    <mergeCell ref="A3:A4"/>
    <mergeCell ref="A14:A15"/>
    <mergeCell ref="A16:A17"/>
    <mergeCell ref="A18:A19"/>
    <mergeCell ref="A20:A21"/>
    <mergeCell ref="B3:B4"/>
    <mergeCell ref="B14:B15"/>
    <mergeCell ref="B16:B17"/>
    <mergeCell ref="B18:B19"/>
    <mergeCell ref="B20:B21"/>
    <mergeCell ref="C3:C4"/>
    <mergeCell ref="D3:D4"/>
    <mergeCell ref="E3:E4"/>
    <mergeCell ref="F3:F4"/>
  </mergeCells>
  <printOptions horizontalCentered="1"/>
  <pageMargins left="0.79" right="0.59" top="0.98" bottom="0.79" header="0.51" footer="0.51"/>
  <pageSetup paperSize="9" orientation="portrait" blackAndWhite="1" verticalDpi="300"/>
  <headerFooter alignWithMargins="0">
    <oddHeader>&amp;L附件：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allowEditUser xmlns="https://web.wps.cn/et/2018/main" xmlns:s="http://schemas.openxmlformats.org/spreadsheetml/2006/main" hasInvisiblePropRange="0">
  <rangeList sheetStid="5" master="">
    <arrUserId title="区域2" rangeCreator="" othersAccessPermission="edit"/>
    <arrUserId title="区域1" rangeCreator="" othersAccessPermission="edit"/>
  </rangeList>
  <rangeList sheetStid="11" master=""/>
  <rangeList sheetStid="16" master=""/>
  <rangeList sheetStid="19" master=""/>
  <rangeList sheetStid="20" master=""/>
  <rangeList sheetStid="4" master=""/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8 " > < c o m m e n t   s : r e f = " F 8 "   r g b C l r = " 8 F B 5 F 8 " / > < c o m m e n t   s : r e f = " F 9 "   r g b C l r = " 8 F B 5 F 8 " / > < c o m m e n t   s : r e f = " F 1 0 "   r g b C l r = " 8 F B 5 F 8 " / > < c o m m e n t   s : r e f = " F 1 1 "   r g b C l r = " 8 F B 5 F 8 " / > < c o m m e n t   s : r e f = " F 1 2 "   r g b C l r = " 8 F B 5 F 8 " / > < c o m m e n t   s : r e f = " F 1 4 "   r g b C l r = " 8 F B 5 F 8 " / > < c o m m e n t   s : r e f = " F 1 5 "   r g b C l r = " 8 F B 5 F 8 " / > < c o m m e n t   s : r e f = " F 1 6 "   r g b C l r = " 8 F B 5 F 8 " / > < c o m m e n t   s : r e f = " F 1 7 "   r g b C l r = " 8 F B 5 F 8 " / > < c o m m e n t   s : r e f = " F 2 3 "   r g b C l r = " 8 F B 5 F 8 " / > < c o m m e n t   s : r e f = " F 2 4 "   r g b C l r = " 8 F B 5 F 8 " / > < c o m m e n t   s : r e f = " F 2 5 "   r g b C l r = " 8 F B 5 F 8 " / > < / c o m m e n t L i s t > < c o m m e n t L i s t   s h e e t S t i d = " 1 9 " > < c o m m e n t   s : r e f = " F 1 0 "   r g b C l r = " 8 F B 5 F 8 " / > < c o m m e n t   s : r e f = " F 1 1 "   r g b C l r = " 8 F B 5 F 8 " / > < c o m m e n t   s : r e f = " F 1 2 "   r g b C l r = " 8 F B 5 F 8 " / > < c o m m e n t   s : r e f = " C 1 3 "   r g b C l r = " 8 F B 5 F 8 " / > < c o m m e n t   s : r e f = " F 1 3 "   r g b C l r = " 8 F B 5 F 8 " / > < c o m m e n t   s : r e f = " F 1 4 "   r g b C l r = " 8 F B 5 F 8 " / > < c o m m e n t   s : r e f = " F 1 5 "   r g b C l r = " 8 F B 5 F 8 " / > < c o m m e n t   s : r e f = " C 1 7 "   r g b C l r = " 8 F B 5 F 8 " / > < c o m m e n t   s : r e f = " F 1 7 "   r g b C l r = " 8 F B 5 F 8 " / > < c o m m e n t   s : r e f = " C 1 8 "   r g b C l r = " 8 F B 5 F 8 " / > < c o m m e n t   s : r e f = " F 1 9 "   r g b C l r = " 8 F B 5 F 8 " / > < c o m m e n t   s : r e f = " F 2 1 "   r g b C l r = " 8 F B 5 F 8 " / > < / c o m m e n t L i s t > < c o m m e n t L i s t   s h e e t S t i d = " 4 " / > < / c o m m e n t s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石泉县教体局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2017年秋季</vt:lpstr>
      <vt:lpstr>results</vt:lpstr>
      <vt:lpstr>2019年秋季</vt:lpstr>
      <vt:lpstr>原始</vt:lpstr>
      <vt:lpstr>正式</vt:lpstr>
      <vt:lpstr>分配表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计财股</dc:creator>
  <cp:lastModifiedBy>明耀</cp:lastModifiedBy>
  <dcterms:created xsi:type="dcterms:W3CDTF">2004-11-05T08:48:00Z</dcterms:created>
  <cp:lastPrinted>2022-10-07T07:51:00Z</cp:lastPrinted>
  <dcterms:modified xsi:type="dcterms:W3CDTF">2024-03-20T01:10:41Z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D2D305FA6F744ED2AFAAE9620E72EF5B</vt:lpwstr>
  </property>
</Properties>
</file>