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1"/>
  </bookViews>
  <sheets>
    <sheet name="2018年公用经费补助资金分配表" sheetId="10" state="hidden" r:id="rId1"/>
    <sheet name="2024" sheetId="21" r:id="rId2"/>
    <sheet name="2019年公用经费补助全年资金分配表" sheetId="12" state="hidden" r:id="rId3"/>
    <sheet name="公用经费排名（加特殊教育经费后排名）" sheetId="8" state="hidden" r:id="rId4"/>
    <sheet name="半年资金拨付表（一半）" sheetId="4" state="hidden" r:id="rId5"/>
  </sheets>
  <definedNames>
    <definedName name="_xlnm.Print_Titles" localSheetId="0">'2018年公用经费补助资金分配表'!$1:$5</definedName>
    <definedName name="_xlnm.Print_Titles" localSheetId="2">'2019年公用经费补助全年资金分配表'!$1:$5</definedName>
    <definedName name="_xlnm.Print_Titles" localSheetId="4">'半年资金拨付表（一半）'!$1:$5</definedName>
    <definedName name="_xlnm.Print_Titles" localSheetId="3">'公用经费排名（加特殊教育经费后排名）'!$1:$3</definedName>
    <definedName name="_xlnm._FilterDatabase" localSheetId="1" hidden="1">'2024'!$A$6:$A$32</definedName>
    <definedName name="_xlnm.Print_Titles" localSheetId="1">'2024'!$1:$5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<sst xmlns="http://schemas.openxmlformats.org/spreadsheetml/2006/main" count="281" uniqueCount="76">
  <si>
    <t>石泉县2018年中小学公用经费补助资金(第一批)分配表</t>
  </si>
  <si>
    <t>单位：人，元</t>
  </si>
  <si>
    <t>序号</t>
  </si>
  <si>
    <t>单位</t>
  </si>
  <si>
    <t>合计</t>
  </si>
  <si>
    <t>生均公用经费</t>
  </si>
  <si>
    <t>取暖费</t>
  </si>
  <si>
    <t>寄宿制公用经费</t>
  </si>
  <si>
    <t>特殊教育公用经费</t>
  </si>
  <si>
    <t>备注</t>
  </si>
  <si>
    <t>100人以上学校生均公用经费</t>
  </si>
  <si>
    <t>100人以下学校和教学点公用经费</t>
  </si>
  <si>
    <t>补助标准</t>
  </si>
  <si>
    <t>补助金额</t>
  </si>
  <si>
    <t>寄宿   生数</t>
  </si>
  <si>
    <t>补助   标准</t>
  </si>
  <si>
    <t>补助 金额</t>
  </si>
  <si>
    <t>随班就读学生</t>
  </si>
  <si>
    <t>学生 人数</t>
  </si>
  <si>
    <t>补助   金额</t>
  </si>
  <si>
    <t>学生   人数</t>
  </si>
  <si>
    <t>学校 所数</t>
  </si>
  <si>
    <t>按100人补助金额</t>
  </si>
  <si>
    <t>合　计</t>
  </si>
  <si>
    <t>其中：初中</t>
  </si>
  <si>
    <t>　　　小学</t>
  </si>
  <si>
    <t>石泉县城关中学</t>
  </si>
  <si>
    <t>石泉县池河中学</t>
  </si>
  <si>
    <t>石泉县第三中学</t>
  </si>
  <si>
    <t>石泉县后柳初级中学</t>
  </si>
  <si>
    <t>石泉县熨斗初级中学</t>
  </si>
  <si>
    <t>石泉县江南九年制学校</t>
  </si>
  <si>
    <t>初中部</t>
  </si>
  <si>
    <t>小学部</t>
  </si>
  <si>
    <t>石泉县饶峰九年制学校</t>
  </si>
  <si>
    <t>石泉县两河九年制学校</t>
  </si>
  <si>
    <t>石泉县喜河九年制学校</t>
  </si>
  <si>
    <t>石泉县迎丰九年制学校</t>
  </si>
  <si>
    <t>石泉县城关第一小学</t>
  </si>
  <si>
    <t>石泉县城关第二小学</t>
  </si>
  <si>
    <t>石泉县城关第三小学</t>
  </si>
  <si>
    <t>石泉县城关第四小学</t>
  </si>
  <si>
    <t>石泉县城关镇中心小学</t>
  </si>
  <si>
    <t>石泉县城关镇银龙小学</t>
  </si>
  <si>
    <t>石泉县池河镇中心小学</t>
  </si>
  <si>
    <t>石泉县喜河镇中心小学</t>
  </si>
  <si>
    <t>石泉县熨斗镇中心小学</t>
  </si>
  <si>
    <t>石泉县后柳镇中心小学</t>
  </si>
  <si>
    <t>石泉县中池镇中心小学</t>
  </si>
  <si>
    <t>石泉县喜河镇长阳小学</t>
  </si>
  <si>
    <t>石泉县后柳镇中坝小学</t>
  </si>
  <si>
    <t>石泉县曾溪镇中心小学</t>
  </si>
  <si>
    <t>石泉县云雾山镇中心小学</t>
  </si>
  <si>
    <t>石泉县云雾山镇银桥小学</t>
  </si>
  <si>
    <t>2024年城乡义务教育补助经费（公用经费第一批）分配表</t>
  </si>
  <si>
    <t>学校</t>
  </si>
  <si>
    <t>人数</t>
  </si>
  <si>
    <t>城乡义务教育补助经费（安财教〔2024〕1号）</t>
  </si>
  <si>
    <t>小学</t>
  </si>
  <si>
    <t>初中</t>
  </si>
  <si>
    <t>小学教育</t>
  </si>
  <si>
    <t>初中教育</t>
  </si>
  <si>
    <t>特殊教育</t>
  </si>
  <si>
    <t>中央  资金</t>
  </si>
  <si>
    <t>省级  资金</t>
  </si>
  <si>
    <t>石泉县2019年中小学公用经费补助资金分配表</t>
  </si>
  <si>
    <t>2017年中小学校公用经费补助资金排序（加特殊经费20万后）</t>
  </si>
  <si>
    <t>学生总数</t>
  </si>
  <si>
    <t>生均公用经费总额</t>
  </si>
  <si>
    <t>石泉县长安九年制学校</t>
  </si>
  <si>
    <t>石泉县两河镇中心小学</t>
  </si>
  <si>
    <t>石泉县两河初级中学</t>
  </si>
  <si>
    <t>石泉县2016年中小学公用经费补助资金分配表（春季学期50%）</t>
  </si>
  <si>
    <t>100人以下村小和教学点公用经费</t>
  </si>
  <si>
    <t>含堡子</t>
  </si>
  <si>
    <t>含杨柳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</si>
</sst>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8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X39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U10" sqref="U10"/>
    </sheetView>
  </sheetViews>
  <sheetFormatPr defaultColWidth="9" defaultRowHeight="14.25"/>
  <cols>
    <col min="1" max="1" width="3.875" style="4" customWidth="1"/>
    <col min="2" max="2" width="17.125" style="5" customWidth="1"/>
    <col min="3" max="3" width="8.875" style="6" customWidth="1"/>
    <col min="4" max="4" width="7" style="6" customWidth="1"/>
    <col min="5" max="5" width="7.625" style="6" customWidth="1"/>
    <col min="6" max="6" width="7.25" style="5" customWidth="1"/>
    <col min="7" max="7" width="5.75" style="5" customWidth="1"/>
    <col min="8" max="8" width="7.5" style="5" customWidth="1"/>
    <col min="9" max="10" width="5.5" style="5" customWidth="1"/>
    <col min="11" max="11" width="6.625" style="5" customWidth="1"/>
    <col min="12" max="12" width="5.5" style="5" customWidth="1"/>
    <col min="13" max="13" width="6.25" style="5" customWidth="1"/>
    <col min="14" max="15" width="5.5" style="4" customWidth="1"/>
    <col min="16" max="16" width="6.25" style="4" customWidth="1"/>
    <col min="17" max="18" width="5.875" style="4" customWidth="1"/>
    <col min="19" max="19" width="5.375" style="4" customWidth="1"/>
    <col min="20" max="20" width="6.25" style="4" customWidth="1"/>
    <col min="21" max="22" width="9.5" style="4" customWidth="1"/>
    <col min="23" max="23" width="9" style="4"/>
    <col min="24" max="24" width="10.5" style="4" customWidth="1"/>
    <col min="25" max="16384" width="9" style="4"/>
  </cols>
  <sheetData>
    <row r="1" ht="26.25" customHeight="1" spans="1:2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21.75" customHeight="1" spans="2:20">
      <c r="B2" s="8"/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9"/>
      <c r="O2" s="9"/>
      <c r="P2" s="22" t="s">
        <v>1</v>
      </c>
      <c r="Q2" s="22"/>
      <c r="R2" s="22"/>
      <c r="S2" s="22"/>
      <c r="T2" s="22"/>
    </row>
    <row r="3" s="1" customFormat="1" ht="24.7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1" t="s">
        <v>6</v>
      </c>
      <c r="M3" s="11"/>
      <c r="N3" s="10" t="s">
        <v>7</v>
      </c>
      <c r="O3" s="10"/>
      <c r="P3" s="10"/>
      <c r="Q3" s="11" t="s">
        <v>8</v>
      </c>
      <c r="R3" s="11"/>
      <c r="S3" s="11"/>
      <c r="T3" s="10" t="s">
        <v>9</v>
      </c>
    </row>
    <row r="4" s="1" customFormat="1" ht="30.75" customHeight="1" spans="1:20">
      <c r="A4" s="10"/>
      <c r="B4" s="10"/>
      <c r="C4" s="10"/>
      <c r="D4" s="10" t="s">
        <v>4</v>
      </c>
      <c r="E4" s="10"/>
      <c r="F4" s="11" t="s">
        <v>10</v>
      </c>
      <c r="G4" s="11"/>
      <c r="H4" s="11"/>
      <c r="I4" s="11" t="s">
        <v>11</v>
      </c>
      <c r="J4" s="11"/>
      <c r="K4" s="11"/>
      <c r="L4" s="11" t="s">
        <v>12</v>
      </c>
      <c r="M4" s="11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15</v>
      </c>
      <c r="S4" s="11" t="s">
        <v>16</v>
      </c>
      <c r="T4" s="10"/>
    </row>
    <row r="5" s="2" customFormat="1" ht="33.75" customHeight="1" spans="1:20">
      <c r="A5" s="10"/>
      <c r="B5" s="10"/>
      <c r="C5" s="10"/>
      <c r="D5" s="12" t="s">
        <v>18</v>
      </c>
      <c r="E5" s="12" t="s">
        <v>19</v>
      </c>
      <c r="F5" s="12" t="s">
        <v>20</v>
      </c>
      <c r="G5" s="12" t="s">
        <v>15</v>
      </c>
      <c r="H5" s="12" t="s">
        <v>19</v>
      </c>
      <c r="I5" s="12" t="s">
        <v>21</v>
      </c>
      <c r="J5" s="12" t="s">
        <v>20</v>
      </c>
      <c r="K5" s="31" t="s">
        <v>22</v>
      </c>
      <c r="L5" s="11"/>
      <c r="M5" s="11"/>
      <c r="N5" s="12"/>
      <c r="O5" s="12"/>
      <c r="P5" s="12"/>
      <c r="Q5" s="12"/>
      <c r="R5" s="12"/>
      <c r="S5" s="11"/>
      <c r="T5" s="10"/>
    </row>
    <row r="6" ht="19.5" customHeight="1" spans="1:50">
      <c r="A6" s="13"/>
      <c r="B6" s="28" t="s">
        <v>23</v>
      </c>
      <c r="C6" s="15">
        <f>C7+C8</f>
        <v>17287000</v>
      </c>
      <c r="D6" s="15">
        <f>D7+D8</f>
        <v>15070</v>
      </c>
      <c r="E6" s="15">
        <f>E7+E8</f>
        <v>15167400</v>
      </c>
      <c r="F6" s="15">
        <f>F7+F8</f>
        <v>14440</v>
      </c>
      <c r="G6" s="16"/>
      <c r="H6" s="15">
        <f>H7+H8</f>
        <v>12447400</v>
      </c>
      <c r="I6" s="15">
        <f>I7+I8</f>
        <v>34</v>
      </c>
      <c r="J6" s="15">
        <f>J7+J8</f>
        <v>571</v>
      </c>
      <c r="K6" s="15">
        <f>K7+K8</f>
        <v>2720000</v>
      </c>
      <c r="L6" s="15">
        <v>60</v>
      </c>
      <c r="M6" s="15">
        <f>M7+M8</f>
        <v>904200</v>
      </c>
      <c r="N6" s="15">
        <f>N7+N8</f>
        <v>4307</v>
      </c>
      <c r="O6" s="15">
        <v>200</v>
      </c>
      <c r="P6" s="15">
        <f>P7+P8</f>
        <v>861400</v>
      </c>
      <c r="Q6" s="15">
        <f>Q7+Q8</f>
        <v>59</v>
      </c>
      <c r="R6" s="15">
        <v>6000</v>
      </c>
      <c r="S6" s="15">
        <f>S7+S8</f>
        <v>354000</v>
      </c>
      <c r="T6" s="17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ht="18.75" customHeight="1" spans="1:50">
      <c r="A7" s="13"/>
      <c r="B7" s="28" t="s">
        <v>24</v>
      </c>
      <c r="C7" s="15">
        <f>SUM(C9:C14,C16,C18,C20,C22)</f>
        <v>5326640</v>
      </c>
      <c r="D7" s="15">
        <f>SUM(D9:D14,D16,D18,D20,D22)</f>
        <v>4504</v>
      </c>
      <c r="E7" s="15">
        <f>SUM(E9:E14,E16,E18,E20,E22)</f>
        <v>4477000</v>
      </c>
      <c r="F7" s="15">
        <f>SUM(F9:F14,F16,F18,F20,F22)</f>
        <v>4477</v>
      </c>
      <c r="G7" s="15">
        <v>1000</v>
      </c>
      <c r="H7" s="15">
        <f>SUM(H9:H14,H16,H18,H20,H22)</f>
        <v>4477000</v>
      </c>
      <c r="I7" s="15">
        <f>SUM(I9:I14,I16,I18,I20,I22)</f>
        <v>0</v>
      </c>
      <c r="J7" s="15">
        <f>SUM(J9:J14,J16,J18,J20,J22)</f>
        <v>0</v>
      </c>
      <c r="K7" s="15">
        <f>SUM(K9:K14,K16,K18,K20,K22)</f>
        <v>0</v>
      </c>
      <c r="L7" s="15">
        <v>60</v>
      </c>
      <c r="M7" s="15">
        <f>SUM(M9:M14,M16,M18,M20,M22)</f>
        <v>270240</v>
      </c>
      <c r="N7" s="15">
        <f>SUM(N9:N14,N16,N18,N20,N22)</f>
        <v>2087</v>
      </c>
      <c r="O7" s="15">
        <v>200</v>
      </c>
      <c r="P7" s="15">
        <f>SUM(P9:P14,P16,P18,P20,P22)</f>
        <v>417400</v>
      </c>
      <c r="Q7" s="15">
        <f>SUM(Q9:Q14,Q16,Q18,Q20,Q22)</f>
        <v>27</v>
      </c>
      <c r="R7" s="15">
        <v>6000</v>
      </c>
      <c r="S7" s="15">
        <f>SUM(S9:S14,S16,S18,S20,S22)</f>
        <v>162000</v>
      </c>
      <c r="T7" s="1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ht="18.75" customHeight="1" spans="1:50">
      <c r="A8" s="13"/>
      <c r="B8" s="28" t="s">
        <v>25</v>
      </c>
      <c r="C8" s="15">
        <f>SUM(C23:C39,C21,C19,C17,C15)</f>
        <v>11960360</v>
      </c>
      <c r="D8" s="15">
        <f>SUM(D23:D39,D21,D19,D17,D15)</f>
        <v>10566</v>
      </c>
      <c r="E8" s="15">
        <f>SUM(E23:E39,E21,E19,E17,E15)</f>
        <v>10690400</v>
      </c>
      <c r="F8" s="15">
        <f>SUM(F23:F39,F21,F19,F17,F15)</f>
        <v>9963</v>
      </c>
      <c r="G8" s="15">
        <v>800</v>
      </c>
      <c r="H8" s="15">
        <f>SUM(H23:H39,H21,H19,H17,H15)</f>
        <v>7970400</v>
      </c>
      <c r="I8" s="15">
        <f>SUM(I23:I39,I21,I19,I17,I15)</f>
        <v>34</v>
      </c>
      <c r="J8" s="15">
        <f>SUM(J23:J39,J21,J19,J17,J15)</f>
        <v>571</v>
      </c>
      <c r="K8" s="15">
        <f>SUM(K23:K39,K21,K19,K17,K15)</f>
        <v>2720000</v>
      </c>
      <c r="L8" s="15">
        <v>60</v>
      </c>
      <c r="M8" s="15">
        <f>SUM(M23:M39,M21,M19,M17,M15)</f>
        <v>633960</v>
      </c>
      <c r="N8" s="15">
        <f>SUM(N23:N39,N21,N19,N17,N15)</f>
        <v>2220</v>
      </c>
      <c r="O8" s="15">
        <v>200</v>
      </c>
      <c r="P8" s="15">
        <f>SUM(P23:P39,P21,P19,P17,P15)</f>
        <v>444000</v>
      </c>
      <c r="Q8" s="15">
        <f>SUM(Q23:Q39,Q21,Q19,Q17,Q15)</f>
        <v>32</v>
      </c>
      <c r="R8" s="15">
        <v>6000</v>
      </c>
      <c r="S8" s="15">
        <f>SUM(S23:S39,S21,S19,S17,S15)</f>
        <v>192000</v>
      </c>
      <c r="T8" s="1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="3" customFormat="1" ht="18.75" customHeight="1" spans="1:20">
      <c r="A9" s="10">
        <v>1</v>
      </c>
      <c r="B9" s="28" t="s">
        <v>26</v>
      </c>
      <c r="C9" s="17">
        <f>E9+M9+P9+S9</f>
        <v>1518480</v>
      </c>
      <c r="D9" s="17">
        <f>F9+J9+Q9</f>
        <v>1368</v>
      </c>
      <c r="E9" s="17">
        <f>H9+K9</f>
        <v>1356000</v>
      </c>
      <c r="F9" s="15">
        <f>1368-2-10</f>
        <v>1356</v>
      </c>
      <c r="G9" s="15">
        <v>1000</v>
      </c>
      <c r="H9" s="15">
        <f t="shared" ref="H9:H39" si="0">F9*G9</f>
        <v>1356000</v>
      </c>
      <c r="I9" s="15"/>
      <c r="J9" s="15"/>
      <c r="K9" s="15"/>
      <c r="L9" s="15">
        <v>60</v>
      </c>
      <c r="M9" s="15">
        <f>D9*60</f>
        <v>82080</v>
      </c>
      <c r="N9" s="17">
        <v>42</v>
      </c>
      <c r="O9" s="15">
        <v>200</v>
      </c>
      <c r="P9" s="15">
        <f>N9*O9</f>
        <v>8400</v>
      </c>
      <c r="Q9" s="15">
        <v>12</v>
      </c>
      <c r="R9" s="15">
        <v>6000</v>
      </c>
      <c r="S9" s="15">
        <f>Q9*R9</f>
        <v>72000</v>
      </c>
      <c r="T9" s="17"/>
    </row>
    <row r="10" s="3" customFormat="1" ht="18.75" customHeight="1" spans="1:20">
      <c r="A10" s="10">
        <v>2</v>
      </c>
      <c r="B10" s="28" t="s">
        <v>27</v>
      </c>
      <c r="C10" s="17">
        <f t="shared" ref="C10:C39" si="1">E10+M10+P10+S10</f>
        <v>746520</v>
      </c>
      <c r="D10" s="17">
        <f t="shared" ref="D10:D39" si="2">F10+J10+Q10</f>
        <v>612</v>
      </c>
      <c r="E10" s="17">
        <f t="shared" ref="E10:E39" si="3">H10+K10</f>
        <v>609000</v>
      </c>
      <c r="F10" s="15">
        <f>612-3</f>
        <v>609</v>
      </c>
      <c r="G10" s="15">
        <v>1000</v>
      </c>
      <c r="H10" s="15">
        <f t="shared" si="0"/>
        <v>609000</v>
      </c>
      <c r="I10" s="15"/>
      <c r="J10" s="15"/>
      <c r="K10" s="15"/>
      <c r="L10" s="15">
        <v>60</v>
      </c>
      <c r="M10" s="15">
        <f t="shared" ref="M10:M39" si="4">D10*60</f>
        <v>36720</v>
      </c>
      <c r="N10" s="17">
        <v>414</v>
      </c>
      <c r="O10" s="15">
        <v>200</v>
      </c>
      <c r="P10" s="15">
        <f>N10*O10</f>
        <v>82800</v>
      </c>
      <c r="Q10" s="15">
        <v>3</v>
      </c>
      <c r="R10" s="15">
        <v>6000</v>
      </c>
      <c r="S10" s="15">
        <f t="shared" ref="S10:S39" si="5">Q10*R10</f>
        <v>18000</v>
      </c>
      <c r="T10" s="17"/>
    </row>
    <row r="11" s="3" customFormat="1" ht="18.75" customHeight="1" spans="1:20">
      <c r="A11" s="10">
        <v>3</v>
      </c>
      <c r="B11" s="28" t="s">
        <v>28</v>
      </c>
      <c r="C11" s="17">
        <f t="shared" si="1"/>
        <v>739320</v>
      </c>
      <c r="D11" s="17">
        <f t="shared" si="2"/>
        <v>622</v>
      </c>
      <c r="E11" s="17">
        <f t="shared" si="3"/>
        <v>619000</v>
      </c>
      <c r="F11" s="15">
        <f>622-3</f>
        <v>619</v>
      </c>
      <c r="G11" s="15">
        <v>1000</v>
      </c>
      <c r="H11" s="15">
        <f t="shared" si="0"/>
        <v>619000</v>
      </c>
      <c r="I11" s="15"/>
      <c r="J11" s="15"/>
      <c r="K11" s="15"/>
      <c r="L11" s="15">
        <v>60</v>
      </c>
      <c r="M11" s="15">
        <f t="shared" si="4"/>
        <v>37320</v>
      </c>
      <c r="N11" s="17">
        <v>325</v>
      </c>
      <c r="O11" s="15">
        <v>200</v>
      </c>
      <c r="P11" s="15">
        <f t="shared" ref="P11:P39" si="6">N11*O11</f>
        <v>65000</v>
      </c>
      <c r="Q11" s="15">
        <v>3</v>
      </c>
      <c r="R11" s="15">
        <v>6000</v>
      </c>
      <c r="S11" s="15">
        <f t="shared" si="5"/>
        <v>18000</v>
      </c>
      <c r="T11" s="17"/>
    </row>
    <row r="12" s="3" customFormat="1" ht="18.75" customHeight="1" spans="1:20">
      <c r="A12" s="10">
        <v>4</v>
      </c>
      <c r="B12" s="28" t="s">
        <v>29</v>
      </c>
      <c r="C12" s="17">
        <f t="shared" si="1"/>
        <v>747140</v>
      </c>
      <c r="D12" s="17">
        <f t="shared" si="2"/>
        <v>609</v>
      </c>
      <c r="E12" s="17">
        <f t="shared" si="3"/>
        <v>609000</v>
      </c>
      <c r="F12" s="15">
        <v>609</v>
      </c>
      <c r="G12" s="15">
        <v>1000</v>
      </c>
      <c r="H12" s="15">
        <f t="shared" si="0"/>
        <v>609000</v>
      </c>
      <c r="I12" s="15"/>
      <c r="J12" s="15"/>
      <c r="K12" s="15"/>
      <c r="L12" s="15">
        <v>60</v>
      </c>
      <c r="M12" s="15">
        <f t="shared" si="4"/>
        <v>36540</v>
      </c>
      <c r="N12" s="17">
        <v>508</v>
      </c>
      <c r="O12" s="15">
        <v>200</v>
      </c>
      <c r="P12" s="15">
        <f t="shared" si="6"/>
        <v>101600</v>
      </c>
      <c r="Q12" s="15"/>
      <c r="R12" s="15"/>
      <c r="S12" s="15">
        <f t="shared" si="5"/>
        <v>0</v>
      </c>
      <c r="T12" s="17"/>
    </row>
    <row r="13" s="3" customFormat="1" ht="18.75" customHeight="1" spans="1:20">
      <c r="A13" s="10">
        <v>5</v>
      </c>
      <c r="B13" s="28" t="s">
        <v>30</v>
      </c>
      <c r="C13" s="17">
        <f t="shared" si="1"/>
        <v>570640</v>
      </c>
      <c r="D13" s="17">
        <f t="shared" si="2"/>
        <v>464</v>
      </c>
      <c r="E13" s="17">
        <f t="shared" si="3"/>
        <v>461000</v>
      </c>
      <c r="F13" s="15">
        <f>464-3</f>
        <v>461</v>
      </c>
      <c r="G13" s="15">
        <v>1000</v>
      </c>
      <c r="H13" s="15">
        <f t="shared" si="0"/>
        <v>461000</v>
      </c>
      <c r="I13" s="15"/>
      <c r="J13" s="15"/>
      <c r="K13" s="15"/>
      <c r="L13" s="15">
        <v>60</v>
      </c>
      <c r="M13" s="15">
        <f t="shared" si="4"/>
        <v>27840</v>
      </c>
      <c r="N13" s="17">
        <v>319</v>
      </c>
      <c r="O13" s="15">
        <v>200</v>
      </c>
      <c r="P13" s="15">
        <f t="shared" si="6"/>
        <v>63800</v>
      </c>
      <c r="Q13" s="15">
        <v>3</v>
      </c>
      <c r="R13" s="15">
        <v>6000</v>
      </c>
      <c r="S13" s="15">
        <f t="shared" si="5"/>
        <v>18000</v>
      </c>
      <c r="T13" s="17"/>
    </row>
    <row r="14" s="3" customFormat="1" ht="18" customHeight="1" spans="1:20">
      <c r="A14" s="10">
        <v>6</v>
      </c>
      <c r="B14" s="29" t="s">
        <v>31</v>
      </c>
      <c r="C14" s="17">
        <f t="shared" si="1"/>
        <v>242000</v>
      </c>
      <c r="D14" s="17">
        <f t="shared" si="2"/>
        <v>210</v>
      </c>
      <c r="E14" s="17">
        <f t="shared" si="3"/>
        <v>210000</v>
      </c>
      <c r="F14" s="15">
        <v>210</v>
      </c>
      <c r="G14" s="15">
        <v>1000</v>
      </c>
      <c r="H14" s="15">
        <f t="shared" si="0"/>
        <v>210000</v>
      </c>
      <c r="I14" s="15"/>
      <c r="J14" s="15"/>
      <c r="K14" s="15">
        <f>I14*100*800</f>
        <v>0</v>
      </c>
      <c r="L14" s="15">
        <v>60</v>
      </c>
      <c r="M14" s="15">
        <f t="shared" si="4"/>
        <v>12600</v>
      </c>
      <c r="N14" s="17">
        <v>97</v>
      </c>
      <c r="O14" s="15">
        <v>200</v>
      </c>
      <c r="P14" s="15">
        <f t="shared" si="6"/>
        <v>19400</v>
      </c>
      <c r="Q14" s="15"/>
      <c r="R14" s="15"/>
      <c r="S14" s="15">
        <f t="shared" si="5"/>
        <v>0</v>
      </c>
      <c r="T14" s="17" t="s">
        <v>32</v>
      </c>
    </row>
    <row r="15" s="3" customFormat="1" ht="18" customHeight="1" spans="1:20">
      <c r="A15" s="10"/>
      <c r="B15" s="29"/>
      <c r="C15" s="17">
        <f t="shared" si="1"/>
        <v>347340</v>
      </c>
      <c r="D15" s="17">
        <f t="shared" si="2"/>
        <v>399</v>
      </c>
      <c r="E15" s="17">
        <f t="shared" si="3"/>
        <v>319200</v>
      </c>
      <c r="F15" s="15">
        <v>399</v>
      </c>
      <c r="G15" s="15">
        <v>800</v>
      </c>
      <c r="H15" s="15">
        <f t="shared" si="0"/>
        <v>319200</v>
      </c>
      <c r="I15" s="15"/>
      <c r="J15" s="15"/>
      <c r="K15" s="15">
        <f>I15*100*800</f>
        <v>0</v>
      </c>
      <c r="L15" s="15">
        <v>60</v>
      </c>
      <c r="M15" s="15">
        <f t="shared" si="4"/>
        <v>23940</v>
      </c>
      <c r="N15" s="17">
        <v>21</v>
      </c>
      <c r="O15" s="15">
        <v>200</v>
      </c>
      <c r="P15" s="15">
        <f t="shared" si="6"/>
        <v>4200</v>
      </c>
      <c r="Q15" s="15"/>
      <c r="R15" s="15"/>
      <c r="S15" s="15">
        <f t="shared" si="5"/>
        <v>0</v>
      </c>
      <c r="T15" s="17" t="s">
        <v>33</v>
      </c>
    </row>
    <row r="16" s="3" customFormat="1" ht="18" customHeight="1" spans="1:20">
      <c r="A16" s="10">
        <v>7</v>
      </c>
      <c r="B16" s="29" t="s">
        <v>34</v>
      </c>
      <c r="C16" s="17">
        <f t="shared" si="1"/>
        <v>247400</v>
      </c>
      <c r="D16" s="17">
        <f t="shared" si="2"/>
        <v>200</v>
      </c>
      <c r="E16" s="17">
        <f t="shared" si="3"/>
        <v>197000</v>
      </c>
      <c r="F16" s="15">
        <f>200-3</f>
        <v>197</v>
      </c>
      <c r="G16" s="15">
        <v>1000</v>
      </c>
      <c r="H16" s="15">
        <f t="shared" si="0"/>
        <v>197000</v>
      </c>
      <c r="I16" s="15"/>
      <c r="J16" s="15"/>
      <c r="K16" s="15"/>
      <c r="L16" s="15">
        <v>60</v>
      </c>
      <c r="M16" s="15">
        <f t="shared" si="4"/>
        <v>12000</v>
      </c>
      <c r="N16" s="17">
        <v>102</v>
      </c>
      <c r="O16" s="15">
        <v>200</v>
      </c>
      <c r="P16" s="15">
        <f t="shared" si="6"/>
        <v>20400</v>
      </c>
      <c r="Q16" s="15">
        <v>3</v>
      </c>
      <c r="R16" s="15">
        <v>6000</v>
      </c>
      <c r="S16" s="15">
        <f t="shared" si="5"/>
        <v>18000</v>
      </c>
      <c r="T16" s="17" t="s">
        <v>32</v>
      </c>
    </row>
    <row r="17" s="3" customFormat="1" ht="18" customHeight="1" spans="1:20">
      <c r="A17" s="10"/>
      <c r="B17" s="29"/>
      <c r="C17" s="17">
        <f t="shared" si="1"/>
        <v>563360</v>
      </c>
      <c r="D17" s="17">
        <f t="shared" si="2"/>
        <v>436</v>
      </c>
      <c r="E17" s="17">
        <f t="shared" si="3"/>
        <v>501600</v>
      </c>
      <c r="F17" s="15">
        <f>432-5</f>
        <v>427</v>
      </c>
      <c r="G17" s="15">
        <v>800</v>
      </c>
      <c r="H17" s="15">
        <f t="shared" si="0"/>
        <v>341600</v>
      </c>
      <c r="I17" s="15">
        <v>2</v>
      </c>
      <c r="J17" s="15">
        <v>4</v>
      </c>
      <c r="K17" s="15">
        <f>I17*100*800</f>
        <v>160000</v>
      </c>
      <c r="L17" s="15">
        <v>60</v>
      </c>
      <c r="M17" s="15">
        <f t="shared" si="4"/>
        <v>26160</v>
      </c>
      <c r="N17" s="15">
        <v>28</v>
      </c>
      <c r="O17" s="15">
        <v>200</v>
      </c>
      <c r="P17" s="15">
        <f t="shared" si="6"/>
        <v>5600</v>
      </c>
      <c r="Q17" s="15">
        <v>5</v>
      </c>
      <c r="R17" s="15">
        <v>6000</v>
      </c>
      <c r="S17" s="15">
        <f t="shared" si="5"/>
        <v>30000</v>
      </c>
      <c r="T17" s="17" t="s">
        <v>33</v>
      </c>
    </row>
    <row r="18" s="3" customFormat="1" ht="18" customHeight="1" spans="1:20">
      <c r="A18" s="10">
        <v>8</v>
      </c>
      <c r="B18" s="29" t="s">
        <v>35</v>
      </c>
      <c r="C18" s="17">
        <f t="shared" si="1"/>
        <v>171600</v>
      </c>
      <c r="D18" s="17">
        <f t="shared" si="2"/>
        <v>140</v>
      </c>
      <c r="E18" s="17">
        <f t="shared" si="3"/>
        <v>138000</v>
      </c>
      <c r="F18" s="15">
        <f>140-2</f>
        <v>138</v>
      </c>
      <c r="G18" s="15">
        <v>1000</v>
      </c>
      <c r="H18" s="15">
        <f t="shared" si="0"/>
        <v>138000</v>
      </c>
      <c r="I18" s="15"/>
      <c r="J18" s="15"/>
      <c r="K18" s="15"/>
      <c r="L18" s="15">
        <v>60</v>
      </c>
      <c r="M18" s="15">
        <f t="shared" si="4"/>
        <v>8400</v>
      </c>
      <c r="N18" s="17">
        <v>66</v>
      </c>
      <c r="O18" s="15">
        <v>200</v>
      </c>
      <c r="P18" s="15">
        <f t="shared" si="6"/>
        <v>13200</v>
      </c>
      <c r="Q18" s="15">
        <v>2</v>
      </c>
      <c r="R18" s="15">
        <v>6000</v>
      </c>
      <c r="S18" s="15">
        <f t="shared" si="5"/>
        <v>12000</v>
      </c>
      <c r="T18" s="17" t="s">
        <v>32</v>
      </c>
    </row>
    <row r="19" s="3" customFormat="1" ht="18" customHeight="1" spans="1:20">
      <c r="A19" s="10"/>
      <c r="B19" s="29"/>
      <c r="C19" s="17">
        <f t="shared" si="1"/>
        <v>378640</v>
      </c>
      <c r="D19" s="17">
        <f t="shared" si="2"/>
        <v>344</v>
      </c>
      <c r="E19" s="17">
        <f t="shared" si="3"/>
        <v>344800</v>
      </c>
      <c r="F19" s="15">
        <f>331</f>
        <v>331</v>
      </c>
      <c r="G19" s="15">
        <v>800</v>
      </c>
      <c r="H19" s="15">
        <f t="shared" si="0"/>
        <v>264800</v>
      </c>
      <c r="I19" s="15">
        <v>1</v>
      </c>
      <c r="J19" s="15">
        <v>12</v>
      </c>
      <c r="K19" s="15">
        <f>I19*100*800</f>
        <v>80000</v>
      </c>
      <c r="L19" s="15">
        <v>60</v>
      </c>
      <c r="M19" s="15">
        <f t="shared" si="4"/>
        <v>20640</v>
      </c>
      <c r="N19" s="15">
        <v>36</v>
      </c>
      <c r="O19" s="15">
        <v>200</v>
      </c>
      <c r="P19" s="15">
        <f t="shared" si="6"/>
        <v>7200</v>
      </c>
      <c r="Q19" s="15">
        <v>1</v>
      </c>
      <c r="R19" s="15">
        <v>6000</v>
      </c>
      <c r="S19" s="15">
        <f t="shared" si="5"/>
        <v>6000</v>
      </c>
      <c r="T19" s="17" t="s">
        <v>33</v>
      </c>
    </row>
    <row r="20" s="3" customFormat="1" ht="18" customHeight="1" spans="1:20">
      <c r="A20" s="30">
        <v>9</v>
      </c>
      <c r="B20" s="29" t="s">
        <v>36</v>
      </c>
      <c r="C20" s="17">
        <f t="shared" si="1"/>
        <v>160740</v>
      </c>
      <c r="D20" s="17">
        <f t="shared" si="2"/>
        <v>129</v>
      </c>
      <c r="E20" s="17">
        <f t="shared" si="3"/>
        <v>129000</v>
      </c>
      <c r="F20" s="15">
        <v>129</v>
      </c>
      <c r="G20" s="15">
        <v>1000</v>
      </c>
      <c r="H20" s="15">
        <f t="shared" si="0"/>
        <v>129000</v>
      </c>
      <c r="I20" s="15"/>
      <c r="J20" s="15"/>
      <c r="K20" s="15">
        <f>I20*100*1000</f>
        <v>0</v>
      </c>
      <c r="L20" s="15">
        <v>60</v>
      </c>
      <c r="M20" s="15">
        <f t="shared" si="4"/>
        <v>7740</v>
      </c>
      <c r="N20" s="15">
        <v>120</v>
      </c>
      <c r="O20" s="15">
        <v>200</v>
      </c>
      <c r="P20" s="15">
        <f t="shared" si="6"/>
        <v>24000</v>
      </c>
      <c r="Q20" s="15"/>
      <c r="R20" s="15"/>
      <c r="S20" s="15">
        <f t="shared" si="5"/>
        <v>0</v>
      </c>
      <c r="T20" s="17" t="s">
        <v>32</v>
      </c>
    </row>
    <row r="21" s="3" customFormat="1" ht="18" customHeight="1" spans="1:20">
      <c r="A21" s="30"/>
      <c r="B21" s="29"/>
      <c r="C21" s="17">
        <f t="shared" si="1"/>
        <v>144780</v>
      </c>
      <c r="D21" s="17">
        <f t="shared" si="2"/>
        <v>153</v>
      </c>
      <c r="E21" s="17">
        <f t="shared" si="3"/>
        <v>122400</v>
      </c>
      <c r="F21" s="15">
        <v>153</v>
      </c>
      <c r="G21" s="15">
        <v>800</v>
      </c>
      <c r="H21" s="15">
        <f t="shared" si="0"/>
        <v>122400</v>
      </c>
      <c r="I21" s="15"/>
      <c r="J21" s="15"/>
      <c r="K21" s="15">
        <f>I21*100*800</f>
        <v>0</v>
      </c>
      <c r="L21" s="15">
        <v>60</v>
      </c>
      <c r="M21" s="15">
        <f t="shared" si="4"/>
        <v>9180</v>
      </c>
      <c r="N21" s="15">
        <v>66</v>
      </c>
      <c r="O21" s="15">
        <v>200</v>
      </c>
      <c r="P21" s="15">
        <f t="shared" si="6"/>
        <v>13200</v>
      </c>
      <c r="Q21" s="15"/>
      <c r="R21" s="15"/>
      <c r="S21" s="15">
        <f t="shared" si="5"/>
        <v>0</v>
      </c>
      <c r="T21" s="17" t="s">
        <v>33</v>
      </c>
    </row>
    <row r="22" s="3" customFormat="1" ht="18" customHeight="1" spans="1:20">
      <c r="A22" s="10">
        <v>10</v>
      </c>
      <c r="B22" s="28" t="s">
        <v>37</v>
      </c>
      <c r="C22" s="17">
        <f t="shared" si="1"/>
        <v>182800</v>
      </c>
      <c r="D22" s="17">
        <f t="shared" si="2"/>
        <v>150</v>
      </c>
      <c r="E22" s="17">
        <f t="shared" si="3"/>
        <v>149000</v>
      </c>
      <c r="F22" s="15">
        <f>150-1</f>
        <v>149</v>
      </c>
      <c r="G22" s="15">
        <v>1000</v>
      </c>
      <c r="H22" s="15">
        <f t="shared" si="0"/>
        <v>149000</v>
      </c>
      <c r="I22" s="15"/>
      <c r="J22" s="15"/>
      <c r="K22" s="15">
        <f t="shared" ref="K22:K39" si="7">I22*100*800</f>
        <v>0</v>
      </c>
      <c r="L22" s="15">
        <v>60</v>
      </c>
      <c r="M22" s="15">
        <f t="shared" si="4"/>
        <v>9000</v>
      </c>
      <c r="N22" s="17">
        <v>94</v>
      </c>
      <c r="O22" s="15">
        <v>200</v>
      </c>
      <c r="P22" s="15">
        <f t="shared" si="6"/>
        <v>18800</v>
      </c>
      <c r="Q22" s="15">
        <v>1</v>
      </c>
      <c r="R22" s="15">
        <v>6000</v>
      </c>
      <c r="S22" s="15">
        <f t="shared" si="5"/>
        <v>6000</v>
      </c>
      <c r="T22" s="17" t="s">
        <v>32</v>
      </c>
    </row>
    <row r="23" s="3" customFormat="1" ht="18" customHeight="1" spans="1:20">
      <c r="A23" s="10"/>
      <c r="B23" s="28"/>
      <c r="C23" s="17">
        <f t="shared" si="1"/>
        <v>438880</v>
      </c>
      <c r="D23" s="17">
        <f t="shared" si="2"/>
        <v>308</v>
      </c>
      <c r="E23" s="17">
        <f t="shared" si="3"/>
        <v>396000</v>
      </c>
      <c r="F23" s="15">
        <f>296-1</f>
        <v>295</v>
      </c>
      <c r="G23" s="15">
        <v>800</v>
      </c>
      <c r="H23" s="15">
        <f t="shared" si="0"/>
        <v>236000</v>
      </c>
      <c r="I23" s="15">
        <v>2</v>
      </c>
      <c r="J23" s="15">
        <v>12</v>
      </c>
      <c r="K23" s="15">
        <f t="shared" si="7"/>
        <v>160000</v>
      </c>
      <c r="L23" s="15">
        <v>60</v>
      </c>
      <c r="M23" s="15">
        <f t="shared" si="4"/>
        <v>18480</v>
      </c>
      <c r="N23" s="15">
        <v>92</v>
      </c>
      <c r="O23" s="15">
        <v>200</v>
      </c>
      <c r="P23" s="15">
        <f t="shared" si="6"/>
        <v>18400</v>
      </c>
      <c r="Q23" s="15">
        <v>1</v>
      </c>
      <c r="R23" s="15">
        <v>6000</v>
      </c>
      <c r="S23" s="15">
        <f t="shared" si="5"/>
        <v>6000</v>
      </c>
      <c r="T23" s="17" t="s">
        <v>33</v>
      </c>
    </row>
    <row r="24" s="3" customFormat="1" ht="19.5" customHeight="1" spans="1:20">
      <c r="A24" s="10">
        <v>11</v>
      </c>
      <c r="B24" s="28" t="s">
        <v>38</v>
      </c>
      <c r="C24" s="17">
        <f t="shared" si="1"/>
        <v>1727820</v>
      </c>
      <c r="D24" s="17">
        <f t="shared" si="2"/>
        <v>1997</v>
      </c>
      <c r="E24" s="17">
        <f t="shared" si="3"/>
        <v>1596000</v>
      </c>
      <c r="F24" s="15">
        <f>1997-2</f>
        <v>1995</v>
      </c>
      <c r="G24" s="15">
        <v>800</v>
      </c>
      <c r="H24" s="15">
        <f t="shared" si="0"/>
        <v>1596000</v>
      </c>
      <c r="I24" s="15"/>
      <c r="J24" s="15"/>
      <c r="K24" s="15">
        <f t="shared" si="7"/>
        <v>0</v>
      </c>
      <c r="L24" s="15">
        <v>60</v>
      </c>
      <c r="M24" s="15">
        <f t="shared" si="4"/>
        <v>119820</v>
      </c>
      <c r="N24" s="15"/>
      <c r="O24" s="15"/>
      <c r="P24" s="15">
        <f t="shared" si="6"/>
        <v>0</v>
      </c>
      <c r="Q24" s="15">
        <v>2</v>
      </c>
      <c r="R24" s="15">
        <v>6000</v>
      </c>
      <c r="S24" s="15">
        <f t="shared" si="5"/>
        <v>12000</v>
      </c>
      <c r="T24" s="17"/>
    </row>
    <row r="25" s="3" customFormat="1" ht="19.5" customHeight="1" spans="1:20">
      <c r="A25" s="10">
        <v>12</v>
      </c>
      <c r="B25" s="28" t="s">
        <v>39</v>
      </c>
      <c r="C25" s="17">
        <f t="shared" si="1"/>
        <v>1296960</v>
      </c>
      <c r="D25" s="17">
        <f t="shared" si="2"/>
        <v>1496</v>
      </c>
      <c r="E25" s="17">
        <f t="shared" si="3"/>
        <v>1195200</v>
      </c>
      <c r="F25" s="15">
        <f>1496-2</f>
        <v>1494</v>
      </c>
      <c r="G25" s="15">
        <v>800</v>
      </c>
      <c r="H25" s="15">
        <f t="shared" si="0"/>
        <v>1195200</v>
      </c>
      <c r="I25" s="15"/>
      <c r="J25" s="15"/>
      <c r="K25" s="15">
        <f t="shared" si="7"/>
        <v>0</v>
      </c>
      <c r="L25" s="15">
        <v>60</v>
      </c>
      <c r="M25" s="15">
        <f t="shared" si="4"/>
        <v>89760</v>
      </c>
      <c r="N25" s="15"/>
      <c r="O25" s="15"/>
      <c r="P25" s="15">
        <f t="shared" si="6"/>
        <v>0</v>
      </c>
      <c r="Q25" s="15">
        <v>2</v>
      </c>
      <c r="R25" s="15">
        <v>6000</v>
      </c>
      <c r="S25" s="15">
        <f t="shared" si="5"/>
        <v>12000</v>
      </c>
      <c r="T25" s="17"/>
    </row>
    <row r="26" s="3" customFormat="1" ht="19.5" customHeight="1" spans="1:20">
      <c r="A26" s="10">
        <v>13</v>
      </c>
      <c r="B26" s="28" t="s">
        <v>40</v>
      </c>
      <c r="C26" s="17">
        <f t="shared" si="1"/>
        <v>205580</v>
      </c>
      <c r="D26" s="17">
        <f t="shared" si="2"/>
        <v>233</v>
      </c>
      <c r="E26" s="17">
        <f t="shared" si="3"/>
        <v>185600</v>
      </c>
      <c r="F26" s="15">
        <f>233-1</f>
        <v>232</v>
      </c>
      <c r="G26" s="15">
        <v>800</v>
      </c>
      <c r="H26" s="15">
        <f t="shared" si="0"/>
        <v>185600</v>
      </c>
      <c r="I26" s="15"/>
      <c r="J26" s="15"/>
      <c r="K26" s="15">
        <f t="shared" si="7"/>
        <v>0</v>
      </c>
      <c r="L26" s="15">
        <v>60</v>
      </c>
      <c r="M26" s="15">
        <f t="shared" si="4"/>
        <v>13980</v>
      </c>
      <c r="N26" s="15"/>
      <c r="O26" s="15"/>
      <c r="P26" s="15">
        <f t="shared" si="6"/>
        <v>0</v>
      </c>
      <c r="Q26" s="15">
        <v>1</v>
      </c>
      <c r="R26" s="15">
        <v>6000</v>
      </c>
      <c r="S26" s="15">
        <f t="shared" si="5"/>
        <v>6000</v>
      </c>
      <c r="T26" s="17"/>
    </row>
    <row r="27" s="3" customFormat="1" ht="19.5" customHeight="1" spans="1:20">
      <c r="A27" s="10">
        <v>14</v>
      </c>
      <c r="B27" s="28" t="s">
        <v>41</v>
      </c>
      <c r="C27" s="17">
        <f t="shared" si="1"/>
        <v>244280</v>
      </c>
      <c r="D27" s="17">
        <f t="shared" si="2"/>
        <v>278</v>
      </c>
      <c r="E27" s="17">
        <f t="shared" si="3"/>
        <v>221600</v>
      </c>
      <c r="F27" s="15">
        <f>278-1</f>
        <v>277</v>
      </c>
      <c r="G27" s="15">
        <v>800</v>
      </c>
      <c r="H27" s="15">
        <f t="shared" si="0"/>
        <v>221600</v>
      </c>
      <c r="I27" s="15"/>
      <c r="J27" s="15"/>
      <c r="K27" s="15">
        <f t="shared" si="7"/>
        <v>0</v>
      </c>
      <c r="L27" s="15">
        <v>60</v>
      </c>
      <c r="M27" s="15">
        <f t="shared" si="4"/>
        <v>16680</v>
      </c>
      <c r="N27" s="15"/>
      <c r="O27" s="15"/>
      <c r="P27" s="15">
        <f t="shared" si="6"/>
        <v>0</v>
      </c>
      <c r="Q27" s="15">
        <v>1</v>
      </c>
      <c r="R27" s="15">
        <v>6000</v>
      </c>
      <c r="S27" s="15">
        <f t="shared" si="5"/>
        <v>6000</v>
      </c>
      <c r="T27" s="17"/>
    </row>
    <row r="28" s="3" customFormat="1" ht="19.5" customHeight="1" spans="1:20">
      <c r="A28" s="10">
        <v>15</v>
      </c>
      <c r="B28" s="28" t="s">
        <v>42</v>
      </c>
      <c r="C28" s="17">
        <f t="shared" si="1"/>
        <v>858780</v>
      </c>
      <c r="D28" s="17">
        <f t="shared" si="2"/>
        <v>893</v>
      </c>
      <c r="E28" s="17">
        <f t="shared" si="3"/>
        <v>737600</v>
      </c>
      <c r="F28" s="15">
        <f>823-1</f>
        <v>822</v>
      </c>
      <c r="G28" s="15">
        <v>800</v>
      </c>
      <c r="H28" s="15">
        <f t="shared" si="0"/>
        <v>657600</v>
      </c>
      <c r="I28" s="15">
        <v>1</v>
      </c>
      <c r="J28" s="15">
        <v>70</v>
      </c>
      <c r="K28" s="15">
        <f t="shared" si="7"/>
        <v>80000</v>
      </c>
      <c r="L28" s="15">
        <v>60</v>
      </c>
      <c r="M28" s="15">
        <f t="shared" si="4"/>
        <v>53580</v>
      </c>
      <c r="N28" s="15">
        <v>308</v>
      </c>
      <c r="O28" s="15">
        <v>200</v>
      </c>
      <c r="P28" s="15">
        <f t="shared" si="6"/>
        <v>61600</v>
      </c>
      <c r="Q28" s="15">
        <v>1</v>
      </c>
      <c r="R28" s="15">
        <v>6000</v>
      </c>
      <c r="S28" s="15">
        <f t="shared" si="5"/>
        <v>6000</v>
      </c>
      <c r="T28" s="17"/>
    </row>
    <row r="29" s="3" customFormat="1" ht="19.5" customHeight="1" spans="1:20">
      <c r="A29" s="10">
        <v>16</v>
      </c>
      <c r="B29" s="28" t="s">
        <v>43</v>
      </c>
      <c r="C29" s="17">
        <f t="shared" si="1"/>
        <v>287880</v>
      </c>
      <c r="D29" s="17">
        <f t="shared" si="2"/>
        <v>128</v>
      </c>
      <c r="E29" s="17">
        <f t="shared" si="3"/>
        <v>251200</v>
      </c>
      <c r="F29" s="15">
        <f>116-2</f>
        <v>114</v>
      </c>
      <c r="G29" s="15">
        <v>800</v>
      </c>
      <c r="H29" s="15">
        <f t="shared" si="0"/>
        <v>91200</v>
      </c>
      <c r="I29" s="15">
        <v>2</v>
      </c>
      <c r="J29" s="15">
        <v>12</v>
      </c>
      <c r="K29" s="15">
        <f t="shared" si="7"/>
        <v>160000</v>
      </c>
      <c r="L29" s="15">
        <v>60</v>
      </c>
      <c r="M29" s="15">
        <f t="shared" si="4"/>
        <v>7680</v>
      </c>
      <c r="N29" s="15">
        <v>85</v>
      </c>
      <c r="O29" s="15">
        <v>200</v>
      </c>
      <c r="P29" s="15">
        <f t="shared" si="6"/>
        <v>17000</v>
      </c>
      <c r="Q29" s="15">
        <v>2</v>
      </c>
      <c r="R29" s="15">
        <v>6000</v>
      </c>
      <c r="S29" s="15">
        <f t="shared" si="5"/>
        <v>12000</v>
      </c>
      <c r="T29" s="17"/>
    </row>
    <row r="30" s="3" customFormat="1" ht="19.5" customHeight="1" spans="1:20">
      <c r="A30" s="10">
        <v>17</v>
      </c>
      <c r="B30" s="28" t="s">
        <v>44</v>
      </c>
      <c r="C30" s="17">
        <f t="shared" si="1"/>
        <v>1454180</v>
      </c>
      <c r="D30" s="17">
        <f t="shared" si="2"/>
        <v>1223</v>
      </c>
      <c r="E30" s="17">
        <f t="shared" si="3"/>
        <v>1293600</v>
      </c>
      <c r="F30" s="15">
        <f>1121-4</f>
        <v>1117</v>
      </c>
      <c r="G30" s="15">
        <v>800</v>
      </c>
      <c r="H30" s="15">
        <f t="shared" si="0"/>
        <v>893600</v>
      </c>
      <c r="I30" s="15">
        <v>5</v>
      </c>
      <c r="J30" s="15">
        <v>102</v>
      </c>
      <c r="K30" s="15">
        <f t="shared" si="7"/>
        <v>400000</v>
      </c>
      <c r="L30" s="15">
        <v>60</v>
      </c>
      <c r="M30" s="15">
        <f t="shared" si="4"/>
        <v>73380</v>
      </c>
      <c r="N30" s="15">
        <v>316</v>
      </c>
      <c r="O30" s="15">
        <v>200</v>
      </c>
      <c r="P30" s="15">
        <f t="shared" si="6"/>
        <v>63200</v>
      </c>
      <c r="Q30" s="15">
        <v>4</v>
      </c>
      <c r="R30" s="15">
        <v>6000</v>
      </c>
      <c r="S30" s="15">
        <f t="shared" si="5"/>
        <v>24000</v>
      </c>
      <c r="T30" s="17"/>
    </row>
    <row r="31" s="3" customFormat="1" ht="19.5" customHeight="1" spans="1:20">
      <c r="A31" s="10">
        <v>18</v>
      </c>
      <c r="B31" s="28" t="s">
        <v>45</v>
      </c>
      <c r="C31" s="17">
        <f t="shared" si="1"/>
        <v>434280</v>
      </c>
      <c r="D31" s="17">
        <f t="shared" si="2"/>
        <v>288</v>
      </c>
      <c r="E31" s="17">
        <f t="shared" si="3"/>
        <v>383200</v>
      </c>
      <c r="F31" s="15">
        <f>282-3</f>
        <v>279</v>
      </c>
      <c r="G31" s="15">
        <v>800</v>
      </c>
      <c r="H31" s="15">
        <f t="shared" si="0"/>
        <v>223200</v>
      </c>
      <c r="I31" s="15">
        <v>2</v>
      </c>
      <c r="J31" s="15">
        <v>6</v>
      </c>
      <c r="K31" s="15">
        <f t="shared" si="7"/>
        <v>160000</v>
      </c>
      <c r="L31" s="15">
        <v>60</v>
      </c>
      <c r="M31" s="15">
        <f t="shared" si="4"/>
        <v>17280</v>
      </c>
      <c r="N31" s="15">
        <v>79</v>
      </c>
      <c r="O31" s="15">
        <v>200</v>
      </c>
      <c r="P31" s="15">
        <f t="shared" si="6"/>
        <v>15800</v>
      </c>
      <c r="Q31" s="15">
        <v>3</v>
      </c>
      <c r="R31" s="15">
        <v>6000</v>
      </c>
      <c r="S31" s="15">
        <f t="shared" si="5"/>
        <v>18000</v>
      </c>
      <c r="T31" s="17"/>
    </row>
    <row r="32" s="3" customFormat="1" ht="19.5" customHeight="1" spans="1:20">
      <c r="A32" s="10">
        <v>19</v>
      </c>
      <c r="B32" s="28" t="s">
        <v>46</v>
      </c>
      <c r="C32" s="17">
        <f t="shared" si="1"/>
        <v>1164880</v>
      </c>
      <c r="D32" s="17">
        <f t="shared" si="2"/>
        <v>958</v>
      </c>
      <c r="E32" s="17">
        <f t="shared" si="3"/>
        <v>995200</v>
      </c>
      <c r="F32" s="15">
        <f>947-3</f>
        <v>944</v>
      </c>
      <c r="G32" s="15">
        <v>800</v>
      </c>
      <c r="H32" s="15">
        <f t="shared" si="0"/>
        <v>755200</v>
      </c>
      <c r="I32" s="15">
        <v>3</v>
      </c>
      <c r="J32" s="15">
        <v>11</v>
      </c>
      <c r="K32" s="15">
        <f t="shared" si="7"/>
        <v>240000</v>
      </c>
      <c r="L32" s="15">
        <v>60</v>
      </c>
      <c r="M32" s="15">
        <f t="shared" si="4"/>
        <v>57480</v>
      </c>
      <c r="N32" s="15">
        <v>471</v>
      </c>
      <c r="O32" s="15">
        <v>200</v>
      </c>
      <c r="P32" s="15">
        <f t="shared" si="6"/>
        <v>94200</v>
      </c>
      <c r="Q32" s="15">
        <v>3</v>
      </c>
      <c r="R32" s="15">
        <v>6000</v>
      </c>
      <c r="S32" s="15">
        <f t="shared" si="5"/>
        <v>18000</v>
      </c>
      <c r="T32" s="17"/>
    </row>
    <row r="33" s="3" customFormat="1" ht="19.5" customHeight="1" spans="1:20">
      <c r="A33" s="10">
        <v>20</v>
      </c>
      <c r="B33" s="28" t="s">
        <v>47</v>
      </c>
      <c r="C33" s="17">
        <f t="shared" si="1"/>
        <v>528780</v>
      </c>
      <c r="D33" s="17">
        <f t="shared" si="2"/>
        <v>493</v>
      </c>
      <c r="E33" s="17">
        <f t="shared" si="3"/>
        <v>471200</v>
      </c>
      <c r="F33" s="15">
        <v>489</v>
      </c>
      <c r="G33" s="15">
        <v>800</v>
      </c>
      <c r="H33" s="15">
        <f t="shared" si="0"/>
        <v>391200</v>
      </c>
      <c r="I33" s="15">
        <v>1</v>
      </c>
      <c r="J33" s="15">
        <v>4</v>
      </c>
      <c r="K33" s="15">
        <f t="shared" si="7"/>
        <v>80000</v>
      </c>
      <c r="L33" s="15">
        <v>60</v>
      </c>
      <c r="M33" s="15">
        <f t="shared" si="4"/>
        <v>29580</v>
      </c>
      <c r="N33" s="15">
        <v>140</v>
      </c>
      <c r="O33" s="15">
        <v>200</v>
      </c>
      <c r="P33" s="15">
        <f t="shared" si="6"/>
        <v>28000</v>
      </c>
      <c r="Q33" s="15"/>
      <c r="R33" s="15"/>
      <c r="S33" s="15">
        <f t="shared" si="5"/>
        <v>0</v>
      </c>
      <c r="T33" s="17"/>
    </row>
    <row r="34" s="3" customFormat="1" ht="19.5" customHeight="1" spans="1:20">
      <c r="A34" s="10">
        <v>21</v>
      </c>
      <c r="B34" s="28" t="s">
        <v>48</v>
      </c>
      <c r="C34" s="17">
        <f t="shared" si="1"/>
        <v>667620</v>
      </c>
      <c r="D34" s="17">
        <f t="shared" si="2"/>
        <v>297</v>
      </c>
      <c r="E34" s="17">
        <f t="shared" si="3"/>
        <v>616800</v>
      </c>
      <c r="F34" s="15">
        <v>271</v>
      </c>
      <c r="G34" s="15">
        <v>800</v>
      </c>
      <c r="H34" s="15">
        <f t="shared" si="0"/>
        <v>216800</v>
      </c>
      <c r="I34" s="15">
        <v>5</v>
      </c>
      <c r="J34" s="15">
        <v>26</v>
      </c>
      <c r="K34" s="15">
        <f t="shared" si="7"/>
        <v>400000</v>
      </c>
      <c r="L34" s="15">
        <v>60</v>
      </c>
      <c r="M34" s="15">
        <f t="shared" si="4"/>
        <v>17820</v>
      </c>
      <c r="N34" s="15">
        <v>165</v>
      </c>
      <c r="O34" s="15">
        <v>200</v>
      </c>
      <c r="P34" s="15">
        <f t="shared" si="6"/>
        <v>33000</v>
      </c>
      <c r="Q34" s="15"/>
      <c r="R34" s="15"/>
      <c r="S34" s="15">
        <f t="shared" si="5"/>
        <v>0</v>
      </c>
      <c r="T34" s="17"/>
    </row>
    <row r="35" s="3" customFormat="1" ht="19.5" customHeight="1" spans="1:20">
      <c r="A35" s="10">
        <v>22</v>
      </c>
      <c r="B35" s="28" t="s">
        <v>49</v>
      </c>
      <c r="C35" s="17">
        <f t="shared" si="1"/>
        <v>289600</v>
      </c>
      <c r="D35" s="17">
        <f t="shared" si="2"/>
        <v>150</v>
      </c>
      <c r="E35" s="17">
        <f t="shared" si="3"/>
        <v>240000</v>
      </c>
      <c r="F35" s="15">
        <v>0</v>
      </c>
      <c r="G35" s="15">
        <v>800</v>
      </c>
      <c r="H35" s="15">
        <f t="shared" si="0"/>
        <v>0</v>
      </c>
      <c r="I35" s="15">
        <v>3</v>
      </c>
      <c r="J35" s="15">
        <f>150-3</f>
        <v>147</v>
      </c>
      <c r="K35" s="15">
        <f t="shared" si="7"/>
        <v>240000</v>
      </c>
      <c r="L35" s="15">
        <v>60</v>
      </c>
      <c r="M35" s="15">
        <f t="shared" si="4"/>
        <v>9000</v>
      </c>
      <c r="N35" s="15">
        <v>113</v>
      </c>
      <c r="O35" s="15">
        <v>200</v>
      </c>
      <c r="P35" s="15">
        <f t="shared" si="6"/>
        <v>22600</v>
      </c>
      <c r="Q35" s="15">
        <v>3</v>
      </c>
      <c r="R35" s="15">
        <v>6000</v>
      </c>
      <c r="S35" s="15">
        <f t="shared" si="5"/>
        <v>18000</v>
      </c>
      <c r="T35" s="17"/>
    </row>
    <row r="36" s="3" customFormat="1" ht="19.5" customHeight="1" spans="1:20">
      <c r="A36" s="10">
        <v>23</v>
      </c>
      <c r="B36" s="28" t="s">
        <v>50</v>
      </c>
      <c r="C36" s="17">
        <f t="shared" si="1"/>
        <v>273500</v>
      </c>
      <c r="D36" s="17">
        <f t="shared" si="2"/>
        <v>205</v>
      </c>
      <c r="E36" s="17">
        <f t="shared" si="3"/>
        <v>238400</v>
      </c>
      <c r="F36" s="15">
        <f>199-1</f>
        <v>198</v>
      </c>
      <c r="G36" s="15">
        <v>800</v>
      </c>
      <c r="H36" s="15">
        <f t="shared" si="0"/>
        <v>158400</v>
      </c>
      <c r="I36" s="15">
        <v>1</v>
      </c>
      <c r="J36" s="15">
        <v>6</v>
      </c>
      <c r="K36" s="15">
        <f t="shared" si="7"/>
        <v>80000</v>
      </c>
      <c r="L36" s="15">
        <v>60</v>
      </c>
      <c r="M36" s="15">
        <f t="shared" si="4"/>
        <v>12300</v>
      </c>
      <c r="N36" s="15">
        <v>84</v>
      </c>
      <c r="O36" s="15">
        <v>200</v>
      </c>
      <c r="P36" s="15">
        <f t="shared" si="6"/>
        <v>16800</v>
      </c>
      <c r="Q36" s="15">
        <v>1</v>
      </c>
      <c r="R36" s="15">
        <v>6000</v>
      </c>
      <c r="S36" s="15">
        <f t="shared" si="5"/>
        <v>6000</v>
      </c>
      <c r="T36" s="17"/>
    </row>
    <row r="37" s="3" customFormat="1" ht="19.5" customHeight="1" spans="1:20">
      <c r="A37" s="10">
        <v>24</v>
      </c>
      <c r="B37" s="28" t="s">
        <v>51</v>
      </c>
      <c r="C37" s="17">
        <f t="shared" si="1"/>
        <v>299100</v>
      </c>
      <c r="D37" s="17">
        <f t="shared" si="2"/>
        <v>135</v>
      </c>
      <c r="E37" s="17">
        <f t="shared" si="3"/>
        <v>260800</v>
      </c>
      <c r="F37" s="15">
        <f>128-2</f>
        <v>126</v>
      </c>
      <c r="G37" s="15">
        <v>800</v>
      </c>
      <c r="H37" s="15">
        <f t="shared" si="0"/>
        <v>100800</v>
      </c>
      <c r="I37" s="15">
        <v>2</v>
      </c>
      <c r="J37" s="15">
        <v>7</v>
      </c>
      <c r="K37" s="15">
        <f t="shared" si="7"/>
        <v>160000</v>
      </c>
      <c r="L37" s="15">
        <v>60</v>
      </c>
      <c r="M37" s="15">
        <f t="shared" si="4"/>
        <v>8100</v>
      </c>
      <c r="N37" s="15">
        <v>91</v>
      </c>
      <c r="O37" s="15">
        <v>200</v>
      </c>
      <c r="P37" s="15">
        <f t="shared" si="6"/>
        <v>18200</v>
      </c>
      <c r="Q37" s="15">
        <v>2</v>
      </c>
      <c r="R37" s="15">
        <v>6000</v>
      </c>
      <c r="S37" s="15">
        <f t="shared" si="5"/>
        <v>12000</v>
      </c>
      <c r="T37" s="17"/>
    </row>
    <row r="38" s="3" customFormat="1" ht="19.5" customHeight="1" spans="1:20">
      <c r="A38" s="10">
        <v>25</v>
      </c>
      <c r="B38" s="28" t="s">
        <v>52</v>
      </c>
      <c r="C38" s="17">
        <f t="shared" si="1"/>
        <v>184420</v>
      </c>
      <c r="D38" s="17">
        <f t="shared" si="2"/>
        <v>107</v>
      </c>
      <c r="E38" s="17">
        <f t="shared" si="3"/>
        <v>160000</v>
      </c>
      <c r="F38" s="15">
        <v>0</v>
      </c>
      <c r="G38" s="15">
        <v>800</v>
      </c>
      <c r="H38" s="15">
        <f t="shared" si="0"/>
        <v>0</v>
      </c>
      <c r="I38" s="15">
        <v>2</v>
      </c>
      <c r="J38" s="15">
        <v>107</v>
      </c>
      <c r="K38" s="15">
        <f t="shared" si="7"/>
        <v>160000</v>
      </c>
      <c r="L38" s="15">
        <v>60</v>
      </c>
      <c r="M38" s="15">
        <f t="shared" si="4"/>
        <v>6420</v>
      </c>
      <c r="N38" s="15">
        <v>90</v>
      </c>
      <c r="O38" s="15">
        <v>200</v>
      </c>
      <c r="P38" s="15">
        <f t="shared" si="6"/>
        <v>18000</v>
      </c>
      <c r="Q38" s="15"/>
      <c r="R38" s="15"/>
      <c r="S38" s="15">
        <f t="shared" si="5"/>
        <v>0</v>
      </c>
      <c r="T38" s="17"/>
    </row>
    <row r="39" s="3" customFormat="1" ht="19.5" customHeight="1" spans="1:20">
      <c r="A39" s="10">
        <v>26</v>
      </c>
      <c r="B39" s="28" t="s">
        <v>53</v>
      </c>
      <c r="C39" s="17">
        <f t="shared" si="1"/>
        <v>169700</v>
      </c>
      <c r="D39" s="17">
        <f t="shared" si="2"/>
        <v>45</v>
      </c>
      <c r="E39" s="17">
        <f t="shared" si="3"/>
        <v>160000</v>
      </c>
      <c r="F39" s="15">
        <v>0</v>
      </c>
      <c r="G39" s="15">
        <v>800</v>
      </c>
      <c r="H39" s="15">
        <f t="shared" si="0"/>
        <v>0</v>
      </c>
      <c r="I39" s="15">
        <v>2</v>
      </c>
      <c r="J39" s="15">
        <v>45</v>
      </c>
      <c r="K39" s="15">
        <f t="shared" si="7"/>
        <v>160000</v>
      </c>
      <c r="L39" s="15">
        <v>60</v>
      </c>
      <c r="M39" s="15">
        <f t="shared" si="4"/>
        <v>2700</v>
      </c>
      <c r="N39" s="15">
        <v>35</v>
      </c>
      <c r="O39" s="15">
        <v>200</v>
      </c>
      <c r="P39" s="15">
        <f t="shared" si="6"/>
        <v>7000</v>
      </c>
      <c r="Q39" s="15"/>
      <c r="R39" s="15"/>
      <c r="S39" s="15">
        <f t="shared" si="5"/>
        <v>0</v>
      </c>
      <c r="T39" s="17"/>
    </row>
  </sheetData>
  <mergeCells count="31">
    <mergeCell ref="A1:T1"/>
    <mergeCell ref="P2:T2"/>
    <mergeCell ref="D3:K3"/>
    <mergeCell ref="L3:M3"/>
    <mergeCell ref="N3:P3"/>
    <mergeCell ref="Q3:S3"/>
    <mergeCell ref="D4:E4"/>
    <mergeCell ref="F4:H4"/>
    <mergeCell ref="I4:K4"/>
    <mergeCell ref="A3:A5"/>
    <mergeCell ref="A14:A15"/>
    <mergeCell ref="A16:A17"/>
    <mergeCell ref="A18:A19"/>
    <mergeCell ref="A20:A21"/>
    <mergeCell ref="A22:A23"/>
    <mergeCell ref="B3:B5"/>
    <mergeCell ref="B14:B15"/>
    <mergeCell ref="B16:B17"/>
    <mergeCell ref="B18:B19"/>
    <mergeCell ref="B20:B21"/>
    <mergeCell ref="B22:B23"/>
    <mergeCell ref="C3:C5"/>
    <mergeCell ref="L4:L5"/>
    <mergeCell ref="M4:M5"/>
    <mergeCell ref="N4:N5"/>
    <mergeCell ref="O4:O5"/>
    <mergeCell ref="P4:P5"/>
    <mergeCell ref="Q4:Q5"/>
    <mergeCell ref="R4:R5"/>
    <mergeCell ref="S4:S5"/>
    <mergeCell ref="T3:T5"/>
  </mergeCells>
  <printOptions horizontalCentered="1"/>
  <pageMargins left="0.2" right="0.2" top="0.79" bottom="0.79" header="0.51" footer="0.51"/>
  <pageSetup paperSize="9" orientation="landscape" blackAndWhite="1" verticalDpi="300"/>
  <headerFooter alignWithMargins="0">
    <oddHeader>&amp;L附件：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32"/>
  <sheetViews>
    <sheetView showZeros="0" tabSelected="1" workbookViewId="0">
      <pane xSplit="5" ySplit="5" topLeftCell="F6" activePane="bottomRight" state="frozen"/>
      <selection/>
      <selection pane="topRight"/>
      <selection pane="bottomLeft"/>
      <selection pane="bottomRight" activeCell="T10" sqref="T10"/>
    </sheetView>
  </sheetViews>
  <sheetFormatPr defaultColWidth="9" defaultRowHeight="14.25"/>
  <cols>
    <col min="1" max="1" width="4.875" style="37" customWidth="1"/>
    <col min="2" max="2" width="22" style="37" customWidth="1"/>
    <col min="3" max="5" width="6" style="38" customWidth="1"/>
    <col min="6" max="6" width="8" style="37" customWidth="1"/>
    <col min="7" max="15" width="6.75" style="37" customWidth="1"/>
    <col min="16" max="16" width="6.75" style="38" customWidth="1"/>
    <col min="17" max="17" width="6.75" style="37" customWidth="1"/>
    <col min="18" max="18" width="6.125" style="37" customWidth="1"/>
    <col min="19" max="16384" width="9" style="37"/>
  </cols>
  <sheetData>
    <row r="1" ht="39" customHeight="1" spans="1:18">
      <c r="A1" s="39"/>
      <c r="B1" s="39" t="s">
        <v>54</v>
      </c>
      <c r="C1" s="39"/>
      <c r="D1" s="39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="32" customFormat="1" ht="22" customHeight="1" spans="2:18">
      <c r="B2" s="41"/>
      <c r="C2" s="42"/>
      <c r="D2" s="42"/>
      <c r="E2" s="42"/>
      <c r="F2" s="43"/>
      <c r="G2" s="43"/>
      <c r="H2" s="43"/>
      <c r="I2" s="43"/>
      <c r="O2" s="61" t="s">
        <v>1</v>
      </c>
      <c r="P2" s="61"/>
      <c r="Q2" s="61"/>
      <c r="R2" s="61"/>
    </row>
    <row r="3" s="33" customFormat="1" ht="27" customHeight="1" spans="1:18">
      <c r="A3" s="44" t="s">
        <v>2</v>
      </c>
      <c r="B3" s="45" t="s">
        <v>55</v>
      </c>
      <c r="C3" s="46" t="s">
        <v>56</v>
      </c>
      <c r="D3" s="47"/>
      <c r="E3" s="48"/>
      <c r="F3" s="49" t="s">
        <v>57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62"/>
      <c r="R3" s="64" t="s">
        <v>9</v>
      </c>
    </row>
    <row r="4" s="33" customFormat="1" ht="27" customHeight="1" spans="1:18">
      <c r="A4" s="44"/>
      <c r="B4" s="51"/>
      <c r="C4" s="44" t="s">
        <v>4</v>
      </c>
      <c r="D4" s="44" t="s">
        <v>58</v>
      </c>
      <c r="E4" s="52" t="s">
        <v>59</v>
      </c>
      <c r="F4" s="49" t="s">
        <v>4</v>
      </c>
      <c r="G4" s="50"/>
      <c r="H4" s="50"/>
      <c r="I4" s="49" t="s">
        <v>60</v>
      </c>
      <c r="J4" s="50"/>
      <c r="K4" s="62"/>
      <c r="L4" s="49" t="s">
        <v>61</v>
      </c>
      <c r="M4" s="50"/>
      <c r="N4" s="62"/>
      <c r="O4" s="49" t="s">
        <v>62</v>
      </c>
      <c r="P4" s="50"/>
      <c r="Q4" s="62"/>
      <c r="R4" s="65"/>
    </row>
    <row r="5" s="34" customFormat="1" ht="29" customHeight="1" spans="1:18">
      <c r="A5" s="44"/>
      <c r="B5" s="53"/>
      <c r="C5" s="44"/>
      <c r="D5" s="44"/>
      <c r="E5" s="52"/>
      <c r="F5" s="52" t="s">
        <v>4</v>
      </c>
      <c r="G5" s="52" t="s">
        <v>63</v>
      </c>
      <c r="H5" s="52" t="s">
        <v>64</v>
      </c>
      <c r="I5" s="52" t="s">
        <v>4</v>
      </c>
      <c r="J5" s="52" t="s">
        <v>63</v>
      </c>
      <c r="K5" s="52" t="s">
        <v>64</v>
      </c>
      <c r="L5" s="52" t="s">
        <v>4</v>
      </c>
      <c r="M5" s="52" t="s">
        <v>63</v>
      </c>
      <c r="N5" s="52" t="s">
        <v>64</v>
      </c>
      <c r="O5" s="52" t="s">
        <v>4</v>
      </c>
      <c r="P5" s="52" t="s">
        <v>63</v>
      </c>
      <c r="Q5" s="52" t="s">
        <v>64</v>
      </c>
      <c r="R5" s="66"/>
    </row>
    <row r="6" s="35" customFormat="1" ht="22" customHeight="1" spans="1:18">
      <c r="A6" s="45"/>
      <c r="B6" s="54" t="s">
        <v>4</v>
      </c>
      <c r="C6" s="55">
        <f t="shared" ref="C6:Q6" si="0">SUM(C7:C32)</f>
        <v>15947</v>
      </c>
      <c r="D6" s="55">
        <f t="shared" si="0"/>
        <v>10799</v>
      </c>
      <c r="E6" s="55">
        <f t="shared" si="0"/>
        <v>5148</v>
      </c>
      <c r="F6" s="56">
        <f t="shared" si="0"/>
        <v>18310000</v>
      </c>
      <c r="G6" s="56">
        <f t="shared" si="0"/>
        <v>13750000</v>
      </c>
      <c r="H6" s="56">
        <f t="shared" si="0"/>
        <v>4560000</v>
      </c>
      <c r="I6" s="56">
        <f t="shared" si="0"/>
        <v>11830000</v>
      </c>
      <c r="J6" s="56">
        <f t="shared" si="0"/>
        <v>8950000</v>
      </c>
      <c r="K6" s="56">
        <f t="shared" si="0"/>
        <v>2880000</v>
      </c>
      <c r="L6" s="56">
        <f t="shared" si="0"/>
        <v>5990000</v>
      </c>
      <c r="M6" s="56">
        <f t="shared" si="0"/>
        <v>4390000</v>
      </c>
      <c r="N6" s="56">
        <f t="shared" si="0"/>
        <v>1600000</v>
      </c>
      <c r="O6" s="55">
        <f t="shared" si="0"/>
        <v>490000</v>
      </c>
      <c r="P6" s="55">
        <f t="shared" si="0"/>
        <v>410000</v>
      </c>
      <c r="Q6" s="55">
        <f t="shared" si="0"/>
        <v>80000</v>
      </c>
      <c r="R6" s="60"/>
    </row>
    <row r="7" s="36" customFormat="1" ht="22" customHeight="1" spans="1:18">
      <c r="A7" s="44">
        <v>1</v>
      </c>
      <c r="B7" s="57" t="s">
        <v>26</v>
      </c>
      <c r="C7" s="58">
        <f t="shared" ref="C7:C32" si="1">D7+E7</f>
        <v>1932</v>
      </c>
      <c r="D7" s="58"/>
      <c r="E7" s="55">
        <v>1932</v>
      </c>
      <c r="F7" s="59">
        <f t="shared" ref="F7:F32" si="2">G7+H7</f>
        <v>2088720</v>
      </c>
      <c r="G7" s="59">
        <f t="shared" ref="G7:G32" si="3">J7+M7+P7</f>
        <v>1642000</v>
      </c>
      <c r="H7" s="59">
        <f t="shared" ref="H7:H32" si="4">K7+N7+Q7</f>
        <v>446720</v>
      </c>
      <c r="I7" s="59">
        <f t="shared" ref="I7:I32" si="5">J7+K7</f>
        <v>0</v>
      </c>
      <c r="J7" s="59"/>
      <c r="K7" s="59"/>
      <c r="L7" s="59">
        <f t="shared" ref="L7:L32" si="6">M7+N7</f>
        <v>2052720</v>
      </c>
      <c r="M7" s="63">
        <v>1642000</v>
      </c>
      <c r="N7" s="63">
        <v>410720</v>
      </c>
      <c r="O7" s="58">
        <f t="shared" ref="O7:O32" si="7">P7+Q7</f>
        <v>36000</v>
      </c>
      <c r="P7" s="55"/>
      <c r="Q7" s="55">
        <v>36000</v>
      </c>
      <c r="R7" s="58"/>
    </row>
    <row r="8" s="36" customFormat="1" ht="22" customHeight="1" spans="1:18">
      <c r="A8" s="44">
        <v>2</v>
      </c>
      <c r="B8" s="57" t="s">
        <v>27</v>
      </c>
      <c r="C8" s="58">
        <f t="shared" si="1"/>
        <v>692</v>
      </c>
      <c r="D8" s="58"/>
      <c r="E8" s="55">
        <v>692</v>
      </c>
      <c r="F8" s="59">
        <f t="shared" si="2"/>
        <v>837540</v>
      </c>
      <c r="G8" s="59">
        <f t="shared" si="3"/>
        <v>452000</v>
      </c>
      <c r="H8" s="59">
        <f t="shared" si="4"/>
        <v>385540</v>
      </c>
      <c r="I8" s="59">
        <f t="shared" si="5"/>
        <v>0</v>
      </c>
      <c r="J8" s="59"/>
      <c r="K8" s="59"/>
      <c r="L8" s="59">
        <f t="shared" si="6"/>
        <v>815540</v>
      </c>
      <c r="M8" s="63">
        <f>652000-200000</f>
        <v>452000</v>
      </c>
      <c r="N8" s="63">
        <f>163540+200000</f>
        <v>363540</v>
      </c>
      <c r="O8" s="58">
        <f t="shared" si="7"/>
        <v>22000</v>
      </c>
      <c r="P8" s="55">
        <v>0</v>
      </c>
      <c r="Q8" s="55">
        <v>22000</v>
      </c>
      <c r="R8" s="58"/>
    </row>
    <row r="9" s="36" customFormat="1" ht="22" customHeight="1" spans="1:18">
      <c r="A9" s="44">
        <v>3</v>
      </c>
      <c r="B9" s="57" t="s">
        <v>28</v>
      </c>
      <c r="C9" s="58">
        <f t="shared" si="1"/>
        <v>762</v>
      </c>
      <c r="D9" s="58"/>
      <c r="E9" s="55">
        <v>762</v>
      </c>
      <c r="F9" s="59">
        <f t="shared" si="2"/>
        <v>918820</v>
      </c>
      <c r="G9" s="59">
        <f t="shared" si="3"/>
        <v>522000</v>
      </c>
      <c r="H9" s="59">
        <f t="shared" si="4"/>
        <v>396820</v>
      </c>
      <c r="I9" s="59">
        <f t="shared" si="5"/>
        <v>0</v>
      </c>
      <c r="J9" s="59"/>
      <c r="K9" s="59"/>
      <c r="L9" s="59">
        <f t="shared" si="6"/>
        <v>870820</v>
      </c>
      <c r="M9" s="63">
        <f>697000-201000</f>
        <v>496000</v>
      </c>
      <c r="N9" s="63">
        <f>173820+201000</f>
        <v>374820</v>
      </c>
      <c r="O9" s="58">
        <f t="shared" si="7"/>
        <v>48000</v>
      </c>
      <c r="P9" s="55">
        <v>26000</v>
      </c>
      <c r="Q9" s="55">
        <v>22000</v>
      </c>
      <c r="R9" s="58"/>
    </row>
    <row r="10" s="36" customFormat="1" ht="22" customHeight="1" spans="1:18">
      <c r="A10" s="44">
        <v>4</v>
      </c>
      <c r="B10" s="57" t="s">
        <v>29</v>
      </c>
      <c r="C10" s="58">
        <f t="shared" si="1"/>
        <v>495</v>
      </c>
      <c r="D10" s="58"/>
      <c r="E10" s="55">
        <v>495</v>
      </c>
      <c r="F10" s="59">
        <f t="shared" si="2"/>
        <v>646800</v>
      </c>
      <c r="G10" s="59">
        <f t="shared" si="3"/>
        <v>521000</v>
      </c>
      <c r="H10" s="59">
        <f t="shared" si="4"/>
        <v>125800</v>
      </c>
      <c r="I10" s="59">
        <f t="shared" si="5"/>
        <v>0</v>
      </c>
      <c r="J10" s="59"/>
      <c r="K10" s="59"/>
      <c r="L10" s="59">
        <f t="shared" si="6"/>
        <v>628800</v>
      </c>
      <c r="M10" s="63">
        <v>503000</v>
      </c>
      <c r="N10" s="63">
        <v>125800</v>
      </c>
      <c r="O10" s="58">
        <f t="shared" si="7"/>
        <v>18000</v>
      </c>
      <c r="P10" s="55">
        <v>18000</v>
      </c>
      <c r="Q10" s="55"/>
      <c r="R10" s="58"/>
    </row>
    <row r="11" s="36" customFormat="1" ht="22" customHeight="1" spans="1:18">
      <c r="A11" s="44">
        <v>5</v>
      </c>
      <c r="B11" s="57" t="s">
        <v>30</v>
      </c>
      <c r="C11" s="58">
        <f t="shared" si="1"/>
        <v>397</v>
      </c>
      <c r="D11" s="58"/>
      <c r="E11" s="55">
        <v>397</v>
      </c>
      <c r="F11" s="59">
        <f t="shared" si="2"/>
        <v>522720</v>
      </c>
      <c r="G11" s="59">
        <f t="shared" si="3"/>
        <v>419000</v>
      </c>
      <c r="H11" s="59">
        <f t="shared" si="4"/>
        <v>103720</v>
      </c>
      <c r="I11" s="59">
        <f t="shared" si="5"/>
        <v>0</v>
      </c>
      <c r="J11" s="59"/>
      <c r="K11" s="59"/>
      <c r="L11" s="59">
        <f t="shared" si="6"/>
        <v>516720</v>
      </c>
      <c r="M11" s="63">
        <v>413000</v>
      </c>
      <c r="N11" s="63">
        <v>103720</v>
      </c>
      <c r="O11" s="58">
        <f t="shared" si="7"/>
        <v>6000</v>
      </c>
      <c r="P11" s="55">
        <v>6000</v>
      </c>
      <c r="Q11" s="55"/>
      <c r="R11" s="58"/>
    </row>
    <row r="12" s="36" customFormat="1" ht="22" customHeight="1" spans="1:18">
      <c r="A12" s="44">
        <v>6</v>
      </c>
      <c r="B12" s="60" t="s">
        <v>31</v>
      </c>
      <c r="C12" s="58">
        <f t="shared" si="1"/>
        <v>1016</v>
      </c>
      <c r="D12" s="58">
        <v>711</v>
      </c>
      <c r="E12" s="58">
        <v>305</v>
      </c>
      <c r="F12" s="59">
        <f t="shared" si="2"/>
        <v>1041460</v>
      </c>
      <c r="G12" s="59">
        <f t="shared" si="3"/>
        <v>536000</v>
      </c>
      <c r="H12" s="59">
        <f t="shared" si="4"/>
        <v>505460</v>
      </c>
      <c r="I12" s="59">
        <f t="shared" si="5"/>
        <v>640760</v>
      </c>
      <c r="J12" s="59">
        <f>513000-4000-300000</f>
        <v>209000</v>
      </c>
      <c r="K12" s="59">
        <f>127760+4000+300000</f>
        <v>431760</v>
      </c>
      <c r="L12" s="59">
        <f t="shared" si="6"/>
        <v>370700</v>
      </c>
      <c r="M12" s="63">
        <v>297000</v>
      </c>
      <c r="N12" s="63">
        <v>73700</v>
      </c>
      <c r="O12" s="58">
        <f t="shared" si="7"/>
        <v>30000</v>
      </c>
      <c r="P12" s="55">
        <v>30000</v>
      </c>
      <c r="Q12" s="55"/>
      <c r="R12" s="58"/>
    </row>
    <row r="13" s="36" customFormat="1" ht="22" customHeight="1" spans="1:18">
      <c r="A13" s="44">
        <v>7</v>
      </c>
      <c r="B13" s="60" t="s">
        <v>34</v>
      </c>
      <c r="C13" s="58">
        <f t="shared" si="1"/>
        <v>447</v>
      </c>
      <c r="D13" s="58">
        <v>277</v>
      </c>
      <c r="E13" s="58">
        <v>170</v>
      </c>
      <c r="F13" s="59">
        <f t="shared" si="2"/>
        <v>516120</v>
      </c>
      <c r="G13" s="59">
        <f t="shared" si="3"/>
        <v>416000</v>
      </c>
      <c r="H13" s="59">
        <f t="shared" si="4"/>
        <v>100120</v>
      </c>
      <c r="I13" s="59">
        <f t="shared" si="5"/>
        <v>274020</v>
      </c>
      <c r="J13" s="59">
        <v>219000</v>
      </c>
      <c r="K13" s="59">
        <v>55020</v>
      </c>
      <c r="L13" s="59">
        <f t="shared" si="6"/>
        <v>224100</v>
      </c>
      <c r="M13" s="59">
        <v>179000</v>
      </c>
      <c r="N13" s="59">
        <v>45100</v>
      </c>
      <c r="O13" s="58">
        <f t="shared" si="7"/>
        <v>18000</v>
      </c>
      <c r="P13" s="55">
        <v>18000</v>
      </c>
      <c r="Q13" s="55"/>
      <c r="R13" s="58"/>
    </row>
    <row r="14" s="36" customFormat="1" ht="22" customHeight="1" spans="1:18">
      <c r="A14" s="44">
        <v>8</v>
      </c>
      <c r="B14" s="60" t="s">
        <v>35</v>
      </c>
      <c r="C14" s="58">
        <f t="shared" si="1"/>
        <v>424</v>
      </c>
      <c r="D14" s="58">
        <v>268</v>
      </c>
      <c r="E14" s="58">
        <v>156</v>
      </c>
      <c r="F14" s="59">
        <f t="shared" si="2"/>
        <v>501240</v>
      </c>
      <c r="G14" s="59">
        <f t="shared" si="3"/>
        <v>406000</v>
      </c>
      <c r="H14" s="59">
        <f t="shared" si="4"/>
        <v>95240</v>
      </c>
      <c r="I14" s="59">
        <f t="shared" si="5"/>
        <v>281880</v>
      </c>
      <c r="J14" s="59">
        <v>226000</v>
      </c>
      <c r="K14" s="59">
        <v>55880</v>
      </c>
      <c r="L14" s="59">
        <f t="shared" si="6"/>
        <v>195360</v>
      </c>
      <c r="M14" s="59">
        <v>156000</v>
      </c>
      <c r="N14" s="59">
        <v>39360</v>
      </c>
      <c r="O14" s="58">
        <f t="shared" si="7"/>
        <v>24000</v>
      </c>
      <c r="P14" s="55">
        <v>24000</v>
      </c>
      <c r="Q14" s="55"/>
      <c r="R14" s="58"/>
    </row>
    <row r="15" s="36" customFormat="1" ht="22" customHeight="1" spans="1:18">
      <c r="A15" s="44">
        <v>9</v>
      </c>
      <c r="B15" s="60" t="s">
        <v>36</v>
      </c>
      <c r="C15" s="58">
        <f t="shared" si="1"/>
        <v>253</v>
      </c>
      <c r="D15" s="58">
        <v>133</v>
      </c>
      <c r="E15" s="58">
        <v>120</v>
      </c>
      <c r="F15" s="59">
        <f t="shared" si="2"/>
        <v>347680</v>
      </c>
      <c r="G15" s="59">
        <f t="shared" si="3"/>
        <v>285000</v>
      </c>
      <c r="H15" s="59">
        <f t="shared" si="4"/>
        <v>62680</v>
      </c>
      <c r="I15" s="59">
        <f t="shared" si="5"/>
        <v>153080</v>
      </c>
      <c r="J15" s="59">
        <v>122000</v>
      </c>
      <c r="K15" s="59">
        <v>31080</v>
      </c>
      <c r="L15" s="59">
        <f t="shared" si="6"/>
        <v>158600</v>
      </c>
      <c r="M15" s="59">
        <v>127000</v>
      </c>
      <c r="N15" s="59">
        <v>31600</v>
      </c>
      <c r="O15" s="58">
        <f t="shared" si="7"/>
        <v>36000</v>
      </c>
      <c r="P15" s="55">
        <v>36000</v>
      </c>
      <c r="Q15" s="55"/>
      <c r="R15" s="58"/>
    </row>
    <row r="16" s="36" customFormat="1" ht="22" customHeight="1" spans="1:18">
      <c r="A16" s="44">
        <v>10</v>
      </c>
      <c r="B16" s="57" t="s">
        <v>37</v>
      </c>
      <c r="C16" s="58">
        <f t="shared" si="1"/>
        <v>334</v>
      </c>
      <c r="D16" s="58">
        <v>215</v>
      </c>
      <c r="E16" s="58">
        <v>119</v>
      </c>
      <c r="F16" s="59">
        <f t="shared" si="2"/>
        <v>399940</v>
      </c>
      <c r="G16" s="59">
        <f t="shared" si="3"/>
        <v>323000</v>
      </c>
      <c r="H16" s="59">
        <f t="shared" si="4"/>
        <v>76940</v>
      </c>
      <c r="I16" s="59">
        <f t="shared" si="5"/>
        <v>225300</v>
      </c>
      <c r="J16" s="59">
        <v>180000</v>
      </c>
      <c r="K16" s="59">
        <v>45300</v>
      </c>
      <c r="L16" s="59">
        <f t="shared" si="6"/>
        <v>156640</v>
      </c>
      <c r="M16" s="59">
        <v>125000</v>
      </c>
      <c r="N16" s="59">
        <v>31640</v>
      </c>
      <c r="O16" s="58">
        <f t="shared" si="7"/>
        <v>18000</v>
      </c>
      <c r="P16" s="55">
        <v>18000</v>
      </c>
      <c r="Q16" s="55"/>
      <c r="R16" s="58"/>
    </row>
    <row r="17" s="36" customFormat="1" ht="22" customHeight="1" spans="1:18">
      <c r="A17" s="44">
        <v>11</v>
      </c>
      <c r="B17" s="57" t="s">
        <v>38</v>
      </c>
      <c r="C17" s="58">
        <f t="shared" si="1"/>
        <v>2270</v>
      </c>
      <c r="D17" s="58">
        <v>2270</v>
      </c>
      <c r="E17" s="58"/>
      <c r="F17" s="59">
        <f t="shared" si="2"/>
        <v>1973000</v>
      </c>
      <c r="G17" s="59">
        <f t="shared" si="3"/>
        <v>1373000</v>
      </c>
      <c r="H17" s="59">
        <f t="shared" si="4"/>
        <v>600000</v>
      </c>
      <c r="I17" s="59">
        <f t="shared" si="5"/>
        <v>1949000</v>
      </c>
      <c r="J17" s="59">
        <f>1559000-210000</f>
        <v>1349000</v>
      </c>
      <c r="K17" s="59">
        <f>390000+210000</f>
        <v>600000</v>
      </c>
      <c r="L17" s="59">
        <f t="shared" si="6"/>
        <v>0</v>
      </c>
      <c r="M17" s="59"/>
      <c r="N17" s="59"/>
      <c r="O17" s="58">
        <f t="shared" si="7"/>
        <v>24000</v>
      </c>
      <c r="P17" s="55">
        <v>24000</v>
      </c>
      <c r="Q17" s="55"/>
      <c r="R17" s="58"/>
    </row>
    <row r="18" s="36" customFormat="1" ht="22" customHeight="1" spans="1:18">
      <c r="A18" s="44">
        <v>12</v>
      </c>
      <c r="B18" s="57" t="s">
        <v>39</v>
      </c>
      <c r="C18" s="58">
        <f t="shared" si="1"/>
        <v>2165</v>
      </c>
      <c r="D18" s="58">
        <v>2165</v>
      </c>
      <c r="E18" s="58"/>
      <c r="F18" s="59">
        <f t="shared" si="2"/>
        <v>1877500</v>
      </c>
      <c r="G18" s="59">
        <f t="shared" si="3"/>
        <v>1506000</v>
      </c>
      <c r="H18" s="59">
        <f t="shared" si="4"/>
        <v>371500</v>
      </c>
      <c r="I18" s="59">
        <f t="shared" si="5"/>
        <v>1859500</v>
      </c>
      <c r="J18" s="59">
        <v>1488000</v>
      </c>
      <c r="K18" s="59">
        <v>371500</v>
      </c>
      <c r="L18" s="59">
        <f t="shared" si="6"/>
        <v>0</v>
      </c>
      <c r="M18" s="59"/>
      <c r="N18" s="59"/>
      <c r="O18" s="58">
        <f t="shared" si="7"/>
        <v>18000</v>
      </c>
      <c r="P18" s="55">
        <v>18000</v>
      </c>
      <c r="Q18" s="55"/>
      <c r="R18" s="58"/>
    </row>
    <row r="19" s="36" customFormat="1" ht="22" customHeight="1" spans="1:18">
      <c r="A19" s="44">
        <v>13</v>
      </c>
      <c r="B19" s="57" t="s">
        <v>40</v>
      </c>
      <c r="C19" s="58">
        <f t="shared" si="1"/>
        <v>420</v>
      </c>
      <c r="D19" s="58">
        <v>420</v>
      </c>
      <c r="E19" s="58"/>
      <c r="F19" s="59">
        <f t="shared" si="2"/>
        <v>433560</v>
      </c>
      <c r="G19" s="59">
        <f t="shared" si="3"/>
        <v>348000</v>
      </c>
      <c r="H19" s="59">
        <f t="shared" si="4"/>
        <v>85560</v>
      </c>
      <c r="I19" s="59">
        <f t="shared" si="5"/>
        <v>433560</v>
      </c>
      <c r="J19" s="59">
        <v>348000</v>
      </c>
      <c r="K19" s="59">
        <f>86460-900</f>
        <v>85560</v>
      </c>
      <c r="L19" s="59">
        <f t="shared" si="6"/>
        <v>0</v>
      </c>
      <c r="M19" s="59"/>
      <c r="N19" s="59"/>
      <c r="O19" s="58">
        <f t="shared" si="7"/>
        <v>0</v>
      </c>
      <c r="P19" s="55">
        <v>0</v>
      </c>
      <c r="Q19" s="55"/>
      <c r="R19" s="58"/>
    </row>
    <row r="20" s="36" customFormat="1" ht="22" customHeight="1" spans="1:18">
      <c r="A20" s="44">
        <v>14</v>
      </c>
      <c r="B20" s="57" t="s">
        <v>41</v>
      </c>
      <c r="C20" s="58">
        <f t="shared" si="1"/>
        <v>332</v>
      </c>
      <c r="D20" s="58">
        <v>332</v>
      </c>
      <c r="E20" s="58"/>
      <c r="F20" s="59">
        <f t="shared" si="2"/>
        <v>370820</v>
      </c>
      <c r="G20" s="59">
        <f t="shared" si="3"/>
        <v>301000</v>
      </c>
      <c r="H20" s="59">
        <f t="shared" si="4"/>
        <v>69820</v>
      </c>
      <c r="I20" s="59">
        <f t="shared" si="5"/>
        <v>346820</v>
      </c>
      <c r="J20" s="59">
        <v>277000</v>
      </c>
      <c r="K20" s="59">
        <v>69820</v>
      </c>
      <c r="L20" s="59">
        <f t="shared" si="6"/>
        <v>0</v>
      </c>
      <c r="M20" s="59"/>
      <c r="N20" s="59"/>
      <c r="O20" s="58">
        <f t="shared" si="7"/>
        <v>24000</v>
      </c>
      <c r="P20" s="55">
        <v>24000</v>
      </c>
      <c r="Q20" s="55"/>
      <c r="R20" s="58"/>
    </row>
    <row r="21" s="36" customFormat="1" ht="22" customHeight="1" spans="1:18">
      <c r="A21" s="44">
        <v>15</v>
      </c>
      <c r="B21" s="57" t="s">
        <v>42</v>
      </c>
      <c r="C21" s="58">
        <f t="shared" si="1"/>
        <v>1017</v>
      </c>
      <c r="D21" s="58">
        <v>1017</v>
      </c>
      <c r="E21" s="58"/>
      <c r="F21" s="59">
        <f t="shared" si="2"/>
        <v>1047920</v>
      </c>
      <c r="G21" s="59">
        <f t="shared" si="3"/>
        <v>843000</v>
      </c>
      <c r="H21" s="59">
        <f t="shared" si="4"/>
        <v>204920</v>
      </c>
      <c r="I21" s="59">
        <f t="shared" si="5"/>
        <v>1023920</v>
      </c>
      <c r="J21" s="59">
        <v>819000</v>
      </c>
      <c r="K21" s="59">
        <v>204920</v>
      </c>
      <c r="L21" s="59">
        <f t="shared" si="6"/>
        <v>0</v>
      </c>
      <c r="M21" s="59"/>
      <c r="N21" s="59"/>
      <c r="O21" s="58">
        <f t="shared" si="7"/>
        <v>24000</v>
      </c>
      <c r="P21" s="55">
        <v>24000</v>
      </c>
      <c r="Q21" s="55"/>
      <c r="R21" s="58"/>
    </row>
    <row r="22" s="36" customFormat="1" ht="22" customHeight="1" spans="1:18">
      <c r="A22" s="44">
        <v>16</v>
      </c>
      <c r="B22" s="57" t="s">
        <v>43</v>
      </c>
      <c r="C22" s="58">
        <f t="shared" si="1"/>
        <v>32</v>
      </c>
      <c r="D22" s="58">
        <v>32</v>
      </c>
      <c r="E22" s="58"/>
      <c r="F22" s="59">
        <f t="shared" si="2"/>
        <v>256020</v>
      </c>
      <c r="G22" s="59">
        <f t="shared" si="3"/>
        <v>206000</v>
      </c>
      <c r="H22" s="59">
        <f t="shared" si="4"/>
        <v>50020</v>
      </c>
      <c r="I22" s="59">
        <f t="shared" si="5"/>
        <v>250020</v>
      </c>
      <c r="J22" s="59">
        <v>200000</v>
      </c>
      <c r="K22" s="59">
        <v>50020</v>
      </c>
      <c r="L22" s="59">
        <f t="shared" si="6"/>
        <v>0</v>
      </c>
      <c r="M22" s="59"/>
      <c r="N22" s="59"/>
      <c r="O22" s="58">
        <f t="shared" si="7"/>
        <v>6000</v>
      </c>
      <c r="P22" s="55">
        <v>6000</v>
      </c>
      <c r="Q22" s="55"/>
      <c r="R22" s="58"/>
    </row>
    <row r="23" s="36" customFormat="1" ht="22" customHeight="1" spans="1:18">
      <c r="A23" s="44">
        <v>17</v>
      </c>
      <c r="B23" s="57" t="s">
        <v>44</v>
      </c>
      <c r="C23" s="58">
        <f t="shared" si="1"/>
        <v>1258</v>
      </c>
      <c r="D23" s="58">
        <v>1258</v>
      </c>
      <c r="E23" s="58"/>
      <c r="F23" s="59">
        <f t="shared" si="2"/>
        <v>1452680</v>
      </c>
      <c r="G23" s="59">
        <f t="shared" si="3"/>
        <v>1168000</v>
      </c>
      <c r="H23" s="59">
        <f t="shared" si="4"/>
        <v>284680</v>
      </c>
      <c r="I23" s="59">
        <f t="shared" si="5"/>
        <v>1422680</v>
      </c>
      <c r="J23" s="59">
        <v>1138000</v>
      </c>
      <c r="K23" s="59">
        <v>284680</v>
      </c>
      <c r="L23" s="59">
        <f t="shared" si="6"/>
        <v>0</v>
      </c>
      <c r="M23" s="59"/>
      <c r="N23" s="59"/>
      <c r="O23" s="58">
        <f t="shared" si="7"/>
        <v>30000</v>
      </c>
      <c r="P23" s="55">
        <v>30000</v>
      </c>
      <c r="Q23" s="55"/>
      <c r="R23" s="58"/>
    </row>
    <row r="24" s="36" customFormat="1" ht="22" customHeight="1" spans="1:18">
      <c r="A24" s="44">
        <v>18</v>
      </c>
      <c r="B24" s="57" t="s">
        <v>45</v>
      </c>
      <c r="C24" s="58">
        <f t="shared" si="1"/>
        <v>195</v>
      </c>
      <c r="D24" s="58">
        <v>195</v>
      </c>
      <c r="E24" s="58"/>
      <c r="F24" s="59">
        <f t="shared" si="2"/>
        <v>403300</v>
      </c>
      <c r="G24" s="59">
        <f t="shared" si="3"/>
        <v>327000</v>
      </c>
      <c r="H24" s="59">
        <f t="shared" si="4"/>
        <v>76300</v>
      </c>
      <c r="I24" s="59">
        <f t="shared" si="5"/>
        <v>379300</v>
      </c>
      <c r="J24" s="59">
        <v>303000</v>
      </c>
      <c r="K24" s="59">
        <f>75400+900</f>
        <v>76300</v>
      </c>
      <c r="L24" s="59">
        <f t="shared" si="6"/>
        <v>0</v>
      </c>
      <c r="M24" s="59"/>
      <c r="N24" s="59"/>
      <c r="O24" s="58">
        <f t="shared" si="7"/>
        <v>24000</v>
      </c>
      <c r="P24" s="55">
        <v>24000</v>
      </c>
      <c r="Q24" s="55"/>
      <c r="R24" s="58"/>
    </row>
    <row r="25" s="36" customFormat="1" ht="22" customHeight="1" spans="1:18">
      <c r="A25" s="44">
        <v>19</v>
      </c>
      <c r="B25" s="57" t="s">
        <v>46</v>
      </c>
      <c r="C25" s="58">
        <f t="shared" si="1"/>
        <v>597</v>
      </c>
      <c r="D25" s="58">
        <v>597</v>
      </c>
      <c r="E25" s="58"/>
      <c r="F25" s="59">
        <f t="shared" si="2"/>
        <v>689420</v>
      </c>
      <c r="G25" s="59">
        <f t="shared" si="3"/>
        <v>554000</v>
      </c>
      <c r="H25" s="59">
        <f t="shared" si="4"/>
        <v>135420</v>
      </c>
      <c r="I25" s="59">
        <f t="shared" si="5"/>
        <v>677420</v>
      </c>
      <c r="J25" s="59">
        <v>542000</v>
      </c>
      <c r="K25" s="59">
        <v>135420</v>
      </c>
      <c r="L25" s="59">
        <f t="shared" si="6"/>
        <v>0</v>
      </c>
      <c r="M25" s="59"/>
      <c r="N25" s="59"/>
      <c r="O25" s="58">
        <f t="shared" si="7"/>
        <v>12000</v>
      </c>
      <c r="P25" s="55">
        <v>12000</v>
      </c>
      <c r="Q25" s="55"/>
      <c r="R25" s="58"/>
    </row>
    <row r="26" s="36" customFormat="1" ht="22" customHeight="1" spans="1:18">
      <c r="A26" s="44">
        <v>20</v>
      </c>
      <c r="B26" s="57" t="s">
        <v>47</v>
      </c>
      <c r="C26" s="58">
        <f t="shared" si="1"/>
        <v>408</v>
      </c>
      <c r="D26" s="58">
        <v>408</v>
      </c>
      <c r="E26" s="58"/>
      <c r="F26" s="59">
        <f t="shared" si="2"/>
        <v>508680</v>
      </c>
      <c r="G26" s="59">
        <f t="shared" si="3"/>
        <v>411000</v>
      </c>
      <c r="H26" s="59">
        <f t="shared" si="4"/>
        <v>97680</v>
      </c>
      <c r="I26" s="59">
        <f t="shared" si="5"/>
        <v>490680</v>
      </c>
      <c r="J26" s="59">
        <v>393000</v>
      </c>
      <c r="K26" s="59">
        <v>97680</v>
      </c>
      <c r="L26" s="59">
        <f t="shared" si="6"/>
        <v>0</v>
      </c>
      <c r="M26" s="59"/>
      <c r="N26" s="59"/>
      <c r="O26" s="58">
        <f t="shared" si="7"/>
        <v>18000</v>
      </c>
      <c r="P26" s="55">
        <v>18000</v>
      </c>
      <c r="Q26" s="55"/>
      <c r="R26" s="58"/>
    </row>
    <row r="27" s="36" customFormat="1" ht="22" customHeight="1" spans="1:18">
      <c r="A27" s="44">
        <v>21</v>
      </c>
      <c r="B27" s="57" t="s">
        <v>48</v>
      </c>
      <c r="C27" s="58">
        <f t="shared" si="1"/>
        <v>176</v>
      </c>
      <c r="D27" s="58">
        <v>176</v>
      </c>
      <c r="E27" s="58"/>
      <c r="F27" s="59">
        <f t="shared" si="2"/>
        <v>432160</v>
      </c>
      <c r="G27" s="59">
        <f t="shared" si="3"/>
        <v>347000</v>
      </c>
      <c r="H27" s="59">
        <f t="shared" si="4"/>
        <v>85160</v>
      </c>
      <c r="I27" s="59">
        <f t="shared" si="5"/>
        <v>426160</v>
      </c>
      <c r="J27" s="59">
        <v>341000</v>
      </c>
      <c r="K27" s="59">
        <v>85160</v>
      </c>
      <c r="L27" s="59">
        <f t="shared" si="6"/>
        <v>0</v>
      </c>
      <c r="M27" s="59"/>
      <c r="N27" s="59"/>
      <c r="O27" s="58">
        <f t="shared" si="7"/>
        <v>6000</v>
      </c>
      <c r="P27" s="55">
        <v>6000</v>
      </c>
      <c r="Q27" s="55"/>
      <c r="R27" s="58"/>
    </row>
    <row r="28" s="36" customFormat="1" ht="22" customHeight="1" spans="1:18">
      <c r="A28" s="44">
        <v>22</v>
      </c>
      <c r="B28" s="57" t="s">
        <v>49</v>
      </c>
      <c r="C28" s="58">
        <f t="shared" si="1"/>
        <v>59</v>
      </c>
      <c r="D28" s="58">
        <v>59</v>
      </c>
      <c r="E28" s="58"/>
      <c r="F28" s="59">
        <f t="shared" si="2"/>
        <v>278640</v>
      </c>
      <c r="G28" s="59">
        <f t="shared" si="3"/>
        <v>227000</v>
      </c>
      <c r="H28" s="59">
        <f t="shared" si="4"/>
        <v>51640</v>
      </c>
      <c r="I28" s="59">
        <f t="shared" si="5"/>
        <v>260640</v>
      </c>
      <c r="J28" s="59">
        <v>209000</v>
      </c>
      <c r="K28" s="59">
        <v>51640</v>
      </c>
      <c r="L28" s="59">
        <f t="shared" si="6"/>
        <v>0</v>
      </c>
      <c r="M28" s="59"/>
      <c r="N28" s="59"/>
      <c r="O28" s="58">
        <f t="shared" si="7"/>
        <v>18000</v>
      </c>
      <c r="P28" s="55">
        <v>18000</v>
      </c>
      <c r="Q28" s="55"/>
      <c r="R28" s="58"/>
    </row>
    <row r="29" s="36" customFormat="1" ht="22" customHeight="1" spans="1:18">
      <c r="A29" s="44">
        <v>23</v>
      </c>
      <c r="B29" s="57" t="s">
        <v>50</v>
      </c>
      <c r="C29" s="58">
        <f t="shared" si="1"/>
        <v>105</v>
      </c>
      <c r="D29" s="58">
        <v>105</v>
      </c>
      <c r="E29" s="58"/>
      <c r="F29" s="59">
        <f t="shared" si="2"/>
        <v>210800</v>
      </c>
      <c r="G29" s="59">
        <f t="shared" si="3"/>
        <v>171000</v>
      </c>
      <c r="H29" s="59">
        <f t="shared" si="4"/>
        <v>39800</v>
      </c>
      <c r="I29" s="59">
        <f t="shared" si="5"/>
        <v>198800</v>
      </c>
      <c r="J29" s="59">
        <v>159000</v>
      </c>
      <c r="K29" s="59">
        <v>39800</v>
      </c>
      <c r="L29" s="59">
        <f t="shared" si="6"/>
        <v>0</v>
      </c>
      <c r="M29" s="59"/>
      <c r="N29" s="59"/>
      <c r="O29" s="58">
        <f t="shared" si="7"/>
        <v>12000</v>
      </c>
      <c r="P29" s="55">
        <v>12000</v>
      </c>
      <c r="Q29" s="55"/>
      <c r="R29" s="58"/>
    </row>
    <row r="30" s="36" customFormat="1" ht="22" customHeight="1" spans="1:18">
      <c r="A30" s="44">
        <v>24</v>
      </c>
      <c r="B30" s="57" t="s">
        <v>51</v>
      </c>
      <c r="C30" s="58">
        <f t="shared" si="1"/>
        <v>91</v>
      </c>
      <c r="D30" s="58">
        <v>91</v>
      </c>
      <c r="E30" s="58"/>
      <c r="F30" s="59">
        <f t="shared" si="2"/>
        <v>191860</v>
      </c>
      <c r="G30" s="59">
        <f t="shared" si="3"/>
        <v>153000</v>
      </c>
      <c r="H30" s="59">
        <f t="shared" si="4"/>
        <v>38860</v>
      </c>
      <c r="I30" s="59">
        <f t="shared" si="5"/>
        <v>191860</v>
      </c>
      <c r="J30" s="59">
        <v>153000</v>
      </c>
      <c r="K30" s="59">
        <v>38860</v>
      </c>
      <c r="L30" s="59">
        <f t="shared" si="6"/>
        <v>0</v>
      </c>
      <c r="M30" s="59"/>
      <c r="N30" s="59"/>
      <c r="O30" s="58">
        <f t="shared" si="7"/>
        <v>0</v>
      </c>
      <c r="P30" s="55">
        <v>0</v>
      </c>
      <c r="Q30" s="55"/>
      <c r="R30" s="58"/>
    </row>
    <row r="31" s="36" customFormat="1" ht="22" customHeight="1" spans="1:18">
      <c r="A31" s="44">
        <v>25</v>
      </c>
      <c r="B31" s="57" t="s">
        <v>52</v>
      </c>
      <c r="C31" s="58">
        <f t="shared" si="1"/>
        <v>31</v>
      </c>
      <c r="D31" s="58">
        <v>31</v>
      </c>
      <c r="E31" s="58"/>
      <c r="F31" s="59">
        <f t="shared" si="2"/>
        <v>176560</v>
      </c>
      <c r="G31" s="59">
        <f t="shared" si="3"/>
        <v>142000</v>
      </c>
      <c r="H31" s="59">
        <f t="shared" si="4"/>
        <v>34560</v>
      </c>
      <c r="I31" s="59">
        <f t="shared" si="5"/>
        <v>170560</v>
      </c>
      <c r="J31" s="59">
        <v>136000</v>
      </c>
      <c r="K31" s="59">
        <v>34560</v>
      </c>
      <c r="L31" s="59">
        <f t="shared" si="6"/>
        <v>0</v>
      </c>
      <c r="M31" s="59"/>
      <c r="N31" s="59"/>
      <c r="O31" s="58">
        <f t="shared" si="7"/>
        <v>6000</v>
      </c>
      <c r="P31" s="55">
        <v>6000</v>
      </c>
      <c r="Q31" s="55"/>
      <c r="R31" s="58"/>
    </row>
    <row r="32" s="36" customFormat="1" ht="22" customHeight="1" spans="1:18">
      <c r="A32" s="44">
        <v>26</v>
      </c>
      <c r="B32" s="57" t="s">
        <v>53</v>
      </c>
      <c r="C32" s="58">
        <f t="shared" si="1"/>
        <v>39</v>
      </c>
      <c r="D32" s="58">
        <v>39</v>
      </c>
      <c r="E32" s="58"/>
      <c r="F32" s="59">
        <f t="shared" si="2"/>
        <v>186040</v>
      </c>
      <c r="G32" s="59">
        <f t="shared" si="3"/>
        <v>151000</v>
      </c>
      <c r="H32" s="59">
        <f t="shared" si="4"/>
        <v>35040</v>
      </c>
      <c r="I32" s="59">
        <f t="shared" si="5"/>
        <v>174040</v>
      </c>
      <c r="J32" s="59">
        <v>139000</v>
      </c>
      <c r="K32" s="59">
        <v>35040</v>
      </c>
      <c r="L32" s="59">
        <f t="shared" si="6"/>
        <v>0</v>
      </c>
      <c r="M32" s="59"/>
      <c r="N32" s="59"/>
      <c r="O32" s="58">
        <f t="shared" si="7"/>
        <v>12000</v>
      </c>
      <c r="P32" s="55">
        <v>12000</v>
      </c>
      <c r="Q32" s="55"/>
      <c r="R32" s="58"/>
    </row>
  </sheetData>
  <mergeCells count="14">
    <mergeCell ref="B1:R1"/>
    <mergeCell ref="O2:R2"/>
    <mergeCell ref="C3:E3"/>
    <mergeCell ref="F3:Q3"/>
    <mergeCell ref="F4:H4"/>
    <mergeCell ref="I4:K4"/>
    <mergeCell ref="L4:N4"/>
    <mergeCell ref="O4:Q4"/>
    <mergeCell ref="A3:A5"/>
    <mergeCell ref="B3:B5"/>
    <mergeCell ref="C4:C5"/>
    <mergeCell ref="D4:D5"/>
    <mergeCell ref="E4:E5"/>
    <mergeCell ref="R3:R5"/>
  </mergeCells>
  <printOptions horizontalCentered="1"/>
  <pageMargins left="0.196527777777778" right="0.196527777777778" top="0.984027777777778" bottom="0.786805555555556" header="0.511805555555556" footer="0.118055555555556"/>
  <pageSetup paperSize="9" orientation="landscape" blackAndWhite="1" horizontalDpi="600"/>
  <headerFooter alignWithMargins="0">
    <oddHeader>&amp;L附件：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AV39"/>
  <sheetViews>
    <sheetView showZeros="0" workbookViewId="0">
      <pane xSplit="2" ySplit="8" topLeftCell="C9" activePane="bottomRight" state="frozen"/>
      <selection/>
      <selection pane="topRight"/>
      <selection pane="bottomLeft"/>
      <selection pane="bottomRight" activeCell="V5" sqref="V5"/>
    </sheetView>
  </sheetViews>
  <sheetFormatPr defaultColWidth="9" defaultRowHeight="14.25"/>
  <cols>
    <col min="1" max="1" width="3.875" style="4" customWidth="1"/>
    <col min="2" max="2" width="17.125" style="5" customWidth="1"/>
    <col min="3" max="3" width="8.875" style="6" customWidth="1"/>
    <col min="4" max="4" width="7" style="6" customWidth="1"/>
    <col min="5" max="5" width="7.625" style="6" customWidth="1"/>
    <col min="6" max="6" width="7.25" style="5" customWidth="1"/>
    <col min="7" max="7" width="5.75" style="5" customWidth="1"/>
    <col min="8" max="8" width="7.5" style="5" customWidth="1"/>
    <col min="9" max="10" width="5.5" style="5" customWidth="1"/>
    <col min="11" max="11" width="6.625" style="5" customWidth="1"/>
    <col min="12" max="12" width="5.5" style="5" customWidth="1"/>
    <col min="13" max="13" width="6.25" style="5" customWidth="1"/>
    <col min="14" max="15" width="5.5" style="4" customWidth="1"/>
    <col min="16" max="16" width="6.25" style="4" customWidth="1"/>
    <col min="17" max="18" width="5.875" style="4" customWidth="1"/>
    <col min="19" max="19" width="5.375" style="4" customWidth="1"/>
    <col min="20" max="20" width="6.25" style="4" customWidth="1"/>
    <col min="21" max="21" width="9" style="4"/>
    <col min="22" max="22" width="10.5" style="4" customWidth="1"/>
    <col min="23" max="16384" width="9" style="4"/>
  </cols>
  <sheetData>
    <row r="1" ht="26.25" customHeight="1" spans="1:20">
      <c r="A1" s="7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="1" customFormat="1" ht="21.75" customHeight="1" spans="2:20">
      <c r="B2" s="8"/>
      <c r="C2" s="9"/>
      <c r="D2" s="9"/>
      <c r="E2" s="9"/>
      <c r="F2" s="8"/>
      <c r="G2" s="8"/>
      <c r="H2" s="8"/>
      <c r="I2" s="8"/>
      <c r="J2" s="8"/>
      <c r="K2" s="8"/>
      <c r="L2" s="8"/>
      <c r="M2" s="8"/>
      <c r="N2" s="9"/>
      <c r="O2" s="9"/>
      <c r="P2" s="22" t="s">
        <v>1</v>
      </c>
      <c r="Q2" s="22"/>
      <c r="R2" s="22"/>
      <c r="S2" s="22"/>
      <c r="T2" s="22"/>
    </row>
    <row r="3" s="1" customFormat="1" ht="24.75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1" t="s">
        <v>6</v>
      </c>
      <c r="M3" s="11"/>
      <c r="N3" s="10" t="s">
        <v>7</v>
      </c>
      <c r="O3" s="10"/>
      <c r="P3" s="10"/>
      <c r="Q3" s="11" t="s">
        <v>8</v>
      </c>
      <c r="R3" s="11"/>
      <c r="S3" s="11"/>
      <c r="T3" s="10" t="s">
        <v>9</v>
      </c>
    </row>
    <row r="4" s="1" customFormat="1" ht="30.75" customHeight="1" spans="1:20">
      <c r="A4" s="10"/>
      <c r="B4" s="10"/>
      <c r="C4" s="10"/>
      <c r="D4" s="10" t="s">
        <v>4</v>
      </c>
      <c r="E4" s="10"/>
      <c r="F4" s="11" t="s">
        <v>10</v>
      </c>
      <c r="G4" s="11"/>
      <c r="H4" s="11"/>
      <c r="I4" s="11" t="s">
        <v>11</v>
      </c>
      <c r="J4" s="11"/>
      <c r="K4" s="11"/>
      <c r="L4" s="11" t="s">
        <v>12</v>
      </c>
      <c r="M4" s="11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15</v>
      </c>
      <c r="S4" s="11" t="s">
        <v>16</v>
      </c>
      <c r="T4" s="10"/>
    </row>
    <row r="5" s="2" customFormat="1" ht="33.75" customHeight="1" spans="1:20">
      <c r="A5" s="10"/>
      <c r="B5" s="10"/>
      <c r="C5" s="10"/>
      <c r="D5" s="12" t="s">
        <v>18</v>
      </c>
      <c r="E5" s="12" t="s">
        <v>19</v>
      </c>
      <c r="F5" s="12" t="s">
        <v>20</v>
      </c>
      <c r="G5" s="12" t="s">
        <v>15</v>
      </c>
      <c r="H5" s="12" t="s">
        <v>19</v>
      </c>
      <c r="I5" s="12" t="s">
        <v>21</v>
      </c>
      <c r="J5" s="12" t="s">
        <v>20</v>
      </c>
      <c r="K5" s="31" t="s">
        <v>22</v>
      </c>
      <c r="L5" s="11"/>
      <c r="M5" s="11"/>
      <c r="N5" s="12"/>
      <c r="O5" s="12"/>
      <c r="P5" s="12"/>
      <c r="Q5" s="12"/>
      <c r="R5" s="12"/>
      <c r="S5" s="11"/>
      <c r="T5" s="10"/>
    </row>
    <row r="6" ht="19.5" customHeight="1" spans="1:48">
      <c r="A6" s="13"/>
      <c r="B6" s="28" t="s">
        <v>23</v>
      </c>
      <c r="C6" s="15">
        <f>C7+C8</f>
        <v>17990880</v>
      </c>
      <c r="D6" s="15">
        <f>D7+D8</f>
        <v>15498</v>
      </c>
      <c r="E6" s="15">
        <f>E7+E8</f>
        <v>15716600</v>
      </c>
      <c r="F6" s="15">
        <f>F7+F8</f>
        <v>14849</v>
      </c>
      <c r="G6" s="16"/>
      <c r="H6" s="15">
        <f>H7+H8</f>
        <v>12836600</v>
      </c>
      <c r="I6" s="15">
        <f>I7+I8</f>
        <v>36</v>
      </c>
      <c r="J6" s="15">
        <f>J7+J8</f>
        <v>553</v>
      </c>
      <c r="K6" s="15">
        <f>K7+K8</f>
        <v>2880000</v>
      </c>
      <c r="L6" s="15">
        <v>60</v>
      </c>
      <c r="M6" s="15">
        <f>M7+M8</f>
        <v>929880</v>
      </c>
      <c r="N6" s="15">
        <f>N7+N8</f>
        <v>3842</v>
      </c>
      <c r="O6" s="15">
        <v>200</v>
      </c>
      <c r="P6" s="15">
        <f>P7+P8</f>
        <v>768400</v>
      </c>
      <c r="Q6" s="15">
        <f>Q7+Q8</f>
        <v>96</v>
      </c>
      <c r="R6" s="15">
        <v>6000</v>
      </c>
      <c r="S6" s="15">
        <f>S7+S8</f>
        <v>576000</v>
      </c>
      <c r="T6" s="17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ht="18.75" customHeight="1" spans="1:48">
      <c r="A7" s="13"/>
      <c r="B7" s="28" t="s">
        <v>24</v>
      </c>
      <c r="C7" s="15">
        <f>SUM(C9:C14,C16,C18,C20,C22)</f>
        <v>5667620</v>
      </c>
      <c r="D7" s="15">
        <f>SUM(D9:D14,D16,D18,D20,D22)</f>
        <v>4817</v>
      </c>
      <c r="E7" s="15">
        <f>SUM(E9:E14,E16,E18,E20,E22)</f>
        <v>4787000</v>
      </c>
      <c r="F7" s="15">
        <f>SUM(F9:F14,F16,F18,F20,F22)</f>
        <v>4787</v>
      </c>
      <c r="G7" s="15">
        <v>1000</v>
      </c>
      <c r="H7" s="15">
        <f>SUM(H9:H14,H16,H18,H20,H22)</f>
        <v>4787000</v>
      </c>
      <c r="I7" s="15">
        <f>SUM(I9:I14,I16,I18,I20,I22)</f>
        <v>0</v>
      </c>
      <c r="J7" s="15">
        <f>SUM(J9:J14,J16,J18,J20,J22)</f>
        <v>0</v>
      </c>
      <c r="K7" s="15">
        <f>SUM(K9:K14,K16,K18,K20,K22)</f>
        <v>0</v>
      </c>
      <c r="L7" s="15">
        <v>60</v>
      </c>
      <c r="M7" s="15">
        <f>SUM(M9:M14,M16,M18,M20,M22)</f>
        <v>289020</v>
      </c>
      <c r="N7" s="15">
        <f>SUM(N9:N14,N16,N18,N20,N22)</f>
        <v>2058</v>
      </c>
      <c r="O7" s="15">
        <v>200</v>
      </c>
      <c r="P7" s="15">
        <f>SUM(P9:P14,P16,P18,P20,P22)</f>
        <v>411600</v>
      </c>
      <c r="Q7" s="15">
        <f>SUM(Q9:Q14,Q16,Q18,Q20,Q22)</f>
        <v>30</v>
      </c>
      <c r="R7" s="15">
        <v>6000</v>
      </c>
      <c r="S7" s="15">
        <f>SUM(S9:S14,S16,S18,S20,S22)</f>
        <v>180000</v>
      </c>
      <c r="T7" s="17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ht="18.75" customHeight="1" spans="1:48">
      <c r="A8" s="13"/>
      <c r="B8" s="28" t="s">
        <v>25</v>
      </c>
      <c r="C8" s="15">
        <f>SUM(C23:C39,C21,C19,C17,C15)</f>
        <v>12323260</v>
      </c>
      <c r="D8" s="15">
        <f>SUM(D23:D39,D21,D19,D17,D15)</f>
        <v>10681</v>
      </c>
      <c r="E8" s="15">
        <f>SUM(E23:E39,E21,E19,E17,E15)</f>
        <v>10929600</v>
      </c>
      <c r="F8" s="15">
        <f>SUM(F23:F39,F21,F19,F17,F15)</f>
        <v>10062</v>
      </c>
      <c r="G8" s="15">
        <v>800</v>
      </c>
      <c r="H8" s="15">
        <f>SUM(H23:H39,H21,H19,H17,H15)</f>
        <v>8049600</v>
      </c>
      <c r="I8" s="15">
        <f>SUM(I23:I39,I21,I19,I17,I15)</f>
        <v>36</v>
      </c>
      <c r="J8" s="15">
        <f>SUM(J23:J39,J21,J19,J17,J15)</f>
        <v>553</v>
      </c>
      <c r="K8" s="15">
        <f>SUM(K23:K39,K21,K19,K17,K15)</f>
        <v>2880000</v>
      </c>
      <c r="L8" s="15">
        <v>60</v>
      </c>
      <c r="M8" s="15">
        <f>SUM(M23:M39,M21,M19,M17,M15)</f>
        <v>640860</v>
      </c>
      <c r="N8" s="15">
        <f>SUM(N23:N39,N21,N19,N17,N15)</f>
        <v>1784</v>
      </c>
      <c r="O8" s="15">
        <v>200</v>
      </c>
      <c r="P8" s="15">
        <f>SUM(P23:P39,P21,P19,P17,P15)</f>
        <v>356800</v>
      </c>
      <c r="Q8" s="15">
        <f>SUM(Q23:Q39,Q21,Q19,Q17,Q15)</f>
        <v>66</v>
      </c>
      <c r="R8" s="15">
        <v>6000</v>
      </c>
      <c r="S8" s="15">
        <f>SUM(S23:S39,S21,S19,S17,S15)</f>
        <v>396000</v>
      </c>
      <c r="T8" s="17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="3" customFormat="1" ht="18.75" customHeight="1" spans="1:20">
      <c r="A9" s="10">
        <v>1</v>
      </c>
      <c r="B9" s="28" t="s">
        <v>26</v>
      </c>
      <c r="C9" s="17">
        <f>E9+M9+P9+S9</f>
        <v>1648320</v>
      </c>
      <c r="D9" s="17">
        <f>F9+J9+Q9</f>
        <v>1522</v>
      </c>
      <c r="E9" s="17">
        <f>H9+K9</f>
        <v>1517000</v>
      </c>
      <c r="F9" s="15">
        <f>1522-5</f>
        <v>1517</v>
      </c>
      <c r="G9" s="15">
        <v>1000</v>
      </c>
      <c r="H9" s="15">
        <f>F9*G9</f>
        <v>1517000</v>
      </c>
      <c r="I9" s="15"/>
      <c r="J9" s="15"/>
      <c r="K9" s="15"/>
      <c r="L9" s="15">
        <v>60</v>
      </c>
      <c r="M9" s="15">
        <f>D9*60</f>
        <v>91320</v>
      </c>
      <c r="N9" s="17">
        <v>50</v>
      </c>
      <c r="O9" s="15">
        <v>200</v>
      </c>
      <c r="P9" s="15">
        <f>N9*O9</f>
        <v>10000</v>
      </c>
      <c r="Q9" s="15">
        <v>5</v>
      </c>
      <c r="R9" s="15">
        <v>6000</v>
      </c>
      <c r="S9" s="15">
        <f>Q9*R9</f>
        <v>30000</v>
      </c>
      <c r="T9" s="17"/>
    </row>
    <row r="10" s="3" customFormat="1" ht="18.75" customHeight="1" spans="1:20">
      <c r="A10" s="10">
        <v>2</v>
      </c>
      <c r="B10" s="28" t="s">
        <v>27</v>
      </c>
      <c r="C10" s="17">
        <f t="shared" ref="C10:C39" si="0">E10+M10+P10+S10</f>
        <v>821440</v>
      </c>
      <c r="D10" s="17">
        <f t="shared" ref="D10:D39" si="1">F10+J10+Q10</f>
        <v>674</v>
      </c>
      <c r="E10" s="17">
        <f t="shared" ref="E10:E39" si="2">H10+K10</f>
        <v>670000</v>
      </c>
      <c r="F10" s="15">
        <f>674-4</f>
        <v>670</v>
      </c>
      <c r="G10" s="15">
        <v>1000</v>
      </c>
      <c r="H10" s="15">
        <f t="shared" ref="H10:H39" si="3">F10*G10</f>
        <v>670000</v>
      </c>
      <c r="I10" s="15"/>
      <c r="J10" s="15"/>
      <c r="K10" s="15"/>
      <c r="L10" s="15">
        <v>60</v>
      </c>
      <c r="M10" s="15">
        <f t="shared" ref="M10:M39" si="4">D10*60</f>
        <v>40440</v>
      </c>
      <c r="N10" s="17">
        <v>435</v>
      </c>
      <c r="O10" s="15">
        <v>200</v>
      </c>
      <c r="P10" s="15">
        <f t="shared" ref="P10:P39" si="5">N10*O10</f>
        <v>87000</v>
      </c>
      <c r="Q10" s="15">
        <v>4</v>
      </c>
      <c r="R10" s="15">
        <v>6000</v>
      </c>
      <c r="S10" s="15">
        <f t="shared" ref="S10:S39" si="6">Q10*R10</f>
        <v>24000</v>
      </c>
      <c r="T10" s="17"/>
    </row>
    <row r="11" s="3" customFormat="1" ht="18.75" customHeight="1" spans="1:20">
      <c r="A11" s="10">
        <v>3</v>
      </c>
      <c r="B11" s="28" t="s">
        <v>28</v>
      </c>
      <c r="C11" s="17">
        <f t="shared" si="0"/>
        <v>764520</v>
      </c>
      <c r="D11" s="17">
        <f t="shared" si="1"/>
        <v>652</v>
      </c>
      <c r="E11" s="17">
        <f t="shared" si="2"/>
        <v>651000</v>
      </c>
      <c r="F11" s="15">
        <f>652-1</f>
        <v>651</v>
      </c>
      <c r="G11" s="15">
        <v>1000</v>
      </c>
      <c r="H11" s="15">
        <f t="shared" si="3"/>
        <v>651000</v>
      </c>
      <c r="I11" s="15"/>
      <c r="J11" s="15"/>
      <c r="K11" s="15"/>
      <c r="L11" s="15">
        <v>60</v>
      </c>
      <c r="M11" s="15">
        <f t="shared" si="4"/>
        <v>39120</v>
      </c>
      <c r="N11" s="17">
        <v>342</v>
      </c>
      <c r="O11" s="15">
        <v>200</v>
      </c>
      <c r="P11" s="15">
        <f t="shared" si="5"/>
        <v>68400</v>
      </c>
      <c r="Q11" s="15">
        <v>1</v>
      </c>
      <c r="R11" s="15">
        <v>6000</v>
      </c>
      <c r="S11" s="15">
        <f t="shared" si="6"/>
        <v>6000</v>
      </c>
      <c r="T11" s="17"/>
    </row>
    <row r="12" s="3" customFormat="1" ht="18.75" customHeight="1" spans="1:20">
      <c r="A12" s="10">
        <v>4</v>
      </c>
      <c r="B12" s="28" t="s">
        <v>29</v>
      </c>
      <c r="C12" s="17">
        <f t="shared" si="0"/>
        <v>726700</v>
      </c>
      <c r="D12" s="17">
        <f t="shared" si="1"/>
        <v>595</v>
      </c>
      <c r="E12" s="17">
        <f t="shared" si="2"/>
        <v>592000</v>
      </c>
      <c r="F12" s="15">
        <f>595-3</f>
        <v>592</v>
      </c>
      <c r="G12" s="15">
        <v>1000</v>
      </c>
      <c r="H12" s="15">
        <f t="shared" si="3"/>
        <v>592000</v>
      </c>
      <c r="I12" s="15"/>
      <c r="J12" s="15"/>
      <c r="K12" s="15"/>
      <c r="L12" s="15">
        <v>60</v>
      </c>
      <c r="M12" s="15">
        <f t="shared" si="4"/>
        <v>35700</v>
      </c>
      <c r="N12" s="17">
        <v>405</v>
      </c>
      <c r="O12" s="15">
        <v>200</v>
      </c>
      <c r="P12" s="15">
        <f t="shared" si="5"/>
        <v>81000</v>
      </c>
      <c r="Q12" s="15">
        <v>3</v>
      </c>
      <c r="R12" s="15">
        <v>6000</v>
      </c>
      <c r="S12" s="15">
        <f t="shared" si="6"/>
        <v>18000</v>
      </c>
      <c r="T12" s="17"/>
    </row>
    <row r="13" s="3" customFormat="1" ht="18.75" customHeight="1" spans="1:20">
      <c r="A13" s="10">
        <v>5</v>
      </c>
      <c r="B13" s="28" t="s">
        <v>30</v>
      </c>
      <c r="C13" s="17">
        <f t="shared" si="0"/>
        <v>607000</v>
      </c>
      <c r="D13" s="17">
        <f t="shared" si="1"/>
        <v>490</v>
      </c>
      <c r="E13" s="17">
        <f t="shared" si="2"/>
        <v>486000</v>
      </c>
      <c r="F13" s="15">
        <f>490-4</f>
        <v>486</v>
      </c>
      <c r="G13" s="15">
        <v>1000</v>
      </c>
      <c r="H13" s="15">
        <f t="shared" si="3"/>
        <v>486000</v>
      </c>
      <c r="I13" s="15"/>
      <c r="J13" s="15"/>
      <c r="K13" s="15"/>
      <c r="L13" s="15">
        <v>60</v>
      </c>
      <c r="M13" s="15">
        <f t="shared" si="4"/>
        <v>29400</v>
      </c>
      <c r="N13" s="17">
        <v>338</v>
      </c>
      <c r="O13" s="15">
        <v>200</v>
      </c>
      <c r="P13" s="15">
        <f t="shared" si="5"/>
        <v>67600</v>
      </c>
      <c r="Q13" s="15">
        <v>4</v>
      </c>
      <c r="R13" s="15">
        <v>6000</v>
      </c>
      <c r="S13" s="15">
        <f t="shared" si="6"/>
        <v>24000</v>
      </c>
      <c r="T13" s="17"/>
    </row>
    <row r="14" s="3" customFormat="1" ht="18" customHeight="1" spans="1:20">
      <c r="A14" s="10">
        <v>6</v>
      </c>
      <c r="B14" s="29" t="s">
        <v>31</v>
      </c>
      <c r="C14" s="17">
        <f t="shared" si="0"/>
        <v>268140</v>
      </c>
      <c r="D14" s="17">
        <f t="shared" si="1"/>
        <v>229</v>
      </c>
      <c r="E14" s="17">
        <f t="shared" si="2"/>
        <v>228000</v>
      </c>
      <c r="F14" s="15">
        <f>229-1</f>
        <v>228</v>
      </c>
      <c r="G14" s="15">
        <v>1000</v>
      </c>
      <c r="H14" s="15">
        <f t="shared" si="3"/>
        <v>228000</v>
      </c>
      <c r="I14" s="15"/>
      <c r="J14" s="15"/>
      <c r="K14" s="15">
        <f>I14*100*800</f>
        <v>0</v>
      </c>
      <c r="L14" s="15">
        <v>60</v>
      </c>
      <c r="M14" s="15">
        <f t="shared" si="4"/>
        <v>13740</v>
      </c>
      <c r="N14" s="17">
        <v>102</v>
      </c>
      <c r="O14" s="15">
        <v>200</v>
      </c>
      <c r="P14" s="15">
        <f t="shared" si="5"/>
        <v>20400</v>
      </c>
      <c r="Q14" s="15">
        <v>1</v>
      </c>
      <c r="R14" s="15">
        <v>6000</v>
      </c>
      <c r="S14" s="15">
        <f t="shared" si="6"/>
        <v>6000</v>
      </c>
      <c r="T14" s="17" t="s">
        <v>32</v>
      </c>
    </row>
    <row r="15" s="3" customFormat="1" ht="18" customHeight="1" spans="1:20">
      <c r="A15" s="10"/>
      <c r="B15" s="29"/>
      <c r="C15" s="17">
        <f t="shared" si="0"/>
        <v>499480</v>
      </c>
      <c r="D15" s="17">
        <f t="shared" si="1"/>
        <v>468</v>
      </c>
      <c r="E15" s="17">
        <f t="shared" si="2"/>
        <v>452800</v>
      </c>
      <c r="F15" s="15">
        <f>467-1</f>
        <v>466</v>
      </c>
      <c r="G15" s="15">
        <v>800</v>
      </c>
      <c r="H15" s="15">
        <f t="shared" si="3"/>
        <v>372800</v>
      </c>
      <c r="I15" s="15">
        <v>1</v>
      </c>
      <c r="J15" s="15">
        <v>1</v>
      </c>
      <c r="K15" s="15">
        <f>I15*100*800</f>
        <v>80000</v>
      </c>
      <c r="L15" s="15">
        <v>60</v>
      </c>
      <c r="M15" s="15">
        <f t="shared" si="4"/>
        <v>28080</v>
      </c>
      <c r="N15" s="17">
        <v>63</v>
      </c>
      <c r="O15" s="15">
        <v>200</v>
      </c>
      <c r="P15" s="15">
        <f t="shared" si="5"/>
        <v>12600</v>
      </c>
      <c r="Q15" s="15">
        <v>1</v>
      </c>
      <c r="R15" s="15">
        <v>6000</v>
      </c>
      <c r="S15" s="15">
        <f t="shared" si="6"/>
        <v>6000</v>
      </c>
      <c r="T15" s="17" t="s">
        <v>33</v>
      </c>
    </row>
    <row r="16" s="3" customFormat="1" ht="18" customHeight="1" spans="1:20">
      <c r="A16" s="10">
        <v>7</v>
      </c>
      <c r="B16" s="29" t="s">
        <v>34</v>
      </c>
      <c r="C16" s="17">
        <f t="shared" si="0"/>
        <v>275640</v>
      </c>
      <c r="D16" s="17">
        <f t="shared" si="1"/>
        <v>224</v>
      </c>
      <c r="E16" s="17">
        <f t="shared" si="2"/>
        <v>220000</v>
      </c>
      <c r="F16" s="15">
        <f>224-4</f>
        <v>220</v>
      </c>
      <c r="G16" s="15">
        <v>1000</v>
      </c>
      <c r="H16" s="15">
        <f t="shared" si="3"/>
        <v>220000</v>
      </c>
      <c r="I16" s="15"/>
      <c r="J16" s="15"/>
      <c r="K16" s="15">
        <f t="shared" ref="K16:K39" si="7">I16*100*800</f>
        <v>0</v>
      </c>
      <c r="L16" s="15">
        <v>60</v>
      </c>
      <c r="M16" s="15">
        <f t="shared" si="4"/>
        <v>13440</v>
      </c>
      <c r="N16" s="17">
        <v>91</v>
      </c>
      <c r="O16" s="15">
        <v>200</v>
      </c>
      <c r="P16" s="15">
        <f t="shared" si="5"/>
        <v>18200</v>
      </c>
      <c r="Q16" s="15">
        <v>4</v>
      </c>
      <c r="R16" s="15">
        <v>6000</v>
      </c>
      <c r="S16" s="15">
        <f t="shared" si="6"/>
        <v>24000</v>
      </c>
      <c r="T16" s="17" t="s">
        <v>32</v>
      </c>
    </row>
    <row r="17" s="3" customFormat="1" ht="18" customHeight="1" spans="1:20">
      <c r="A17" s="10"/>
      <c r="B17" s="29"/>
      <c r="C17" s="17">
        <f t="shared" si="0"/>
        <v>474740</v>
      </c>
      <c r="D17" s="17">
        <f t="shared" si="1"/>
        <v>419</v>
      </c>
      <c r="E17" s="17">
        <f t="shared" si="2"/>
        <v>408800</v>
      </c>
      <c r="F17" s="15">
        <f>419-4-4</f>
        <v>411</v>
      </c>
      <c r="G17" s="15">
        <v>800</v>
      </c>
      <c r="H17" s="15">
        <f t="shared" si="3"/>
        <v>328800</v>
      </c>
      <c r="I17" s="15">
        <v>1</v>
      </c>
      <c r="J17" s="15">
        <v>4</v>
      </c>
      <c r="K17" s="15">
        <f t="shared" si="7"/>
        <v>80000</v>
      </c>
      <c r="L17" s="15">
        <v>60</v>
      </c>
      <c r="M17" s="15">
        <f t="shared" si="4"/>
        <v>25140</v>
      </c>
      <c r="N17" s="15">
        <v>84</v>
      </c>
      <c r="O17" s="15">
        <v>200</v>
      </c>
      <c r="P17" s="15">
        <f t="shared" si="5"/>
        <v>16800</v>
      </c>
      <c r="Q17" s="15">
        <v>4</v>
      </c>
      <c r="R17" s="15">
        <v>6000</v>
      </c>
      <c r="S17" s="15">
        <f t="shared" si="6"/>
        <v>24000</v>
      </c>
      <c r="T17" s="17" t="s">
        <v>33</v>
      </c>
    </row>
    <row r="18" s="3" customFormat="1" ht="18" customHeight="1" spans="1:20">
      <c r="A18" s="10">
        <v>8</v>
      </c>
      <c r="B18" s="29" t="s">
        <v>35</v>
      </c>
      <c r="C18" s="17">
        <f t="shared" si="0"/>
        <v>183660</v>
      </c>
      <c r="D18" s="17">
        <f t="shared" si="1"/>
        <v>151</v>
      </c>
      <c r="E18" s="17">
        <f t="shared" si="2"/>
        <v>149000</v>
      </c>
      <c r="F18" s="15">
        <f>151-2</f>
        <v>149</v>
      </c>
      <c r="G18" s="15">
        <v>1000</v>
      </c>
      <c r="H18" s="15">
        <f t="shared" si="3"/>
        <v>149000</v>
      </c>
      <c r="I18" s="15"/>
      <c r="J18" s="15"/>
      <c r="K18" s="15">
        <f t="shared" si="7"/>
        <v>0</v>
      </c>
      <c r="L18" s="15">
        <v>60</v>
      </c>
      <c r="M18" s="15">
        <f t="shared" si="4"/>
        <v>9060</v>
      </c>
      <c r="N18" s="17">
        <v>68</v>
      </c>
      <c r="O18" s="15">
        <v>200</v>
      </c>
      <c r="P18" s="15">
        <f t="shared" si="5"/>
        <v>13600</v>
      </c>
      <c r="Q18" s="15">
        <v>2</v>
      </c>
      <c r="R18" s="15">
        <v>6000</v>
      </c>
      <c r="S18" s="15">
        <f t="shared" si="6"/>
        <v>12000</v>
      </c>
      <c r="T18" s="17" t="s">
        <v>32</v>
      </c>
    </row>
    <row r="19" s="3" customFormat="1" ht="18" customHeight="1" spans="1:20">
      <c r="A19" s="10"/>
      <c r="B19" s="29"/>
      <c r="C19" s="17">
        <f t="shared" si="0"/>
        <v>481340</v>
      </c>
      <c r="D19" s="17">
        <f t="shared" si="1"/>
        <v>339</v>
      </c>
      <c r="E19" s="17">
        <f t="shared" si="2"/>
        <v>421600</v>
      </c>
      <c r="F19" s="15">
        <f>339-8-4</f>
        <v>327</v>
      </c>
      <c r="G19" s="15">
        <v>800</v>
      </c>
      <c r="H19" s="15">
        <f t="shared" si="3"/>
        <v>261600</v>
      </c>
      <c r="I19" s="15">
        <v>2</v>
      </c>
      <c r="J19" s="15">
        <v>8</v>
      </c>
      <c r="K19" s="15">
        <f t="shared" si="7"/>
        <v>160000</v>
      </c>
      <c r="L19" s="15">
        <v>60</v>
      </c>
      <c r="M19" s="15">
        <f t="shared" si="4"/>
        <v>20340</v>
      </c>
      <c r="N19" s="15">
        <v>77</v>
      </c>
      <c r="O19" s="15">
        <v>200</v>
      </c>
      <c r="P19" s="15">
        <f t="shared" si="5"/>
        <v>15400</v>
      </c>
      <c r="Q19" s="15">
        <v>4</v>
      </c>
      <c r="R19" s="15">
        <v>6000</v>
      </c>
      <c r="S19" s="15">
        <f t="shared" si="6"/>
        <v>24000</v>
      </c>
      <c r="T19" s="17" t="s">
        <v>33</v>
      </c>
    </row>
    <row r="20" s="3" customFormat="1" ht="18" customHeight="1" spans="1:20">
      <c r="A20" s="30">
        <v>9</v>
      </c>
      <c r="B20" s="29" t="s">
        <v>36</v>
      </c>
      <c r="C20" s="17">
        <f t="shared" si="0"/>
        <v>215280</v>
      </c>
      <c r="D20" s="17">
        <f t="shared" si="1"/>
        <v>148</v>
      </c>
      <c r="E20" s="17">
        <f t="shared" si="2"/>
        <v>142000</v>
      </c>
      <c r="F20" s="15">
        <f>148-Q20</f>
        <v>142</v>
      </c>
      <c r="G20" s="15">
        <v>1000</v>
      </c>
      <c r="H20" s="15">
        <f t="shared" si="3"/>
        <v>142000</v>
      </c>
      <c r="I20" s="15"/>
      <c r="J20" s="15"/>
      <c r="K20" s="15">
        <f t="shared" si="7"/>
        <v>0</v>
      </c>
      <c r="L20" s="15">
        <v>60</v>
      </c>
      <c r="M20" s="15">
        <f t="shared" si="4"/>
        <v>8880</v>
      </c>
      <c r="N20" s="15">
        <v>142</v>
      </c>
      <c r="O20" s="15">
        <v>200</v>
      </c>
      <c r="P20" s="15">
        <f t="shared" si="5"/>
        <v>28400</v>
      </c>
      <c r="Q20" s="15">
        <v>6</v>
      </c>
      <c r="R20" s="15">
        <v>6000</v>
      </c>
      <c r="S20" s="15">
        <f t="shared" si="6"/>
        <v>36000</v>
      </c>
      <c r="T20" s="17" t="s">
        <v>32</v>
      </c>
    </row>
    <row r="21" s="3" customFormat="1" ht="18" customHeight="1" spans="1:20">
      <c r="A21" s="30"/>
      <c r="B21" s="29"/>
      <c r="C21" s="17">
        <f t="shared" si="0"/>
        <v>169680</v>
      </c>
      <c r="D21" s="17">
        <f t="shared" si="1"/>
        <v>148</v>
      </c>
      <c r="E21" s="17">
        <f t="shared" si="2"/>
        <v>115200</v>
      </c>
      <c r="F21" s="15">
        <f>148-Q21</f>
        <v>144</v>
      </c>
      <c r="G21" s="15">
        <v>800</v>
      </c>
      <c r="H21" s="15">
        <f t="shared" si="3"/>
        <v>115200</v>
      </c>
      <c r="I21" s="15"/>
      <c r="J21" s="15"/>
      <c r="K21" s="15">
        <f t="shared" si="7"/>
        <v>0</v>
      </c>
      <c r="L21" s="15">
        <v>60</v>
      </c>
      <c r="M21" s="15">
        <f t="shared" si="4"/>
        <v>8880</v>
      </c>
      <c r="N21" s="15">
        <v>108</v>
      </c>
      <c r="O21" s="15">
        <v>200</v>
      </c>
      <c r="P21" s="15">
        <f t="shared" si="5"/>
        <v>21600</v>
      </c>
      <c r="Q21" s="15">
        <v>4</v>
      </c>
      <c r="R21" s="15">
        <v>6000</v>
      </c>
      <c r="S21" s="15">
        <f t="shared" si="6"/>
        <v>24000</v>
      </c>
      <c r="T21" s="17" t="s">
        <v>33</v>
      </c>
    </row>
    <row r="22" s="3" customFormat="1" ht="18" customHeight="1" spans="1:20">
      <c r="A22" s="10">
        <v>10</v>
      </c>
      <c r="B22" s="28" t="s">
        <v>37</v>
      </c>
      <c r="C22" s="17">
        <f t="shared" si="0"/>
        <v>156920</v>
      </c>
      <c r="D22" s="17">
        <f t="shared" si="1"/>
        <v>132</v>
      </c>
      <c r="E22" s="17">
        <f t="shared" si="2"/>
        <v>132000</v>
      </c>
      <c r="F22" s="15">
        <v>132</v>
      </c>
      <c r="G22" s="15">
        <v>1000</v>
      </c>
      <c r="H22" s="15">
        <f t="shared" si="3"/>
        <v>132000</v>
      </c>
      <c r="I22" s="15"/>
      <c r="J22" s="15"/>
      <c r="K22" s="15">
        <f t="shared" si="7"/>
        <v>0</v>
      </c>
      <c r="L22" s="15">
        <v>60</v>
      </c>
      <c r="M22" s="15">
        <f t="shared" si="4"/>
        <v>7920</v>
      </c>
      <c r="N22" s="17">
        <v>85</v>
      </c>
      <c r="O22" s="15">
        <v>200</v>
      </c>
      <c r="P22" s="15">
        <f t="shared" si="5"/>
        <v>17000</v>
      </c>
      <c r="Q22" s="15"/>
      <c r="R22" s="15"/>
      <c r="S22" s="15">
        <f t="shared" si="6"/>
        <v>0</v>
      </c>
      <c r="T22" s="17" t="s">
        <v>32</v>
      </c>
    </row>
    <row r="23" s="3" customFormat="1" ht="18" customHeight="1" spans="1:20">
      <c r="A23" s="10"/>
      <c r="B23" s="28"/>
      <c r="C23" s="17">
        <f t="shared" si="0"/>
        <v>446480</v>
      </c>
      <c r="D23" s="17">
        <f t="shared" si="1"/>
        <v>298</v>
      </c>
      <c r="E23" s="17">
        <f t="shared" si="2"/>
        <v>393600</v>
      </c>
      <c r="F23" s="15">
        <f>298-5-1</f>
        <v>292</v>
      </c>
      <c r="G23" s="15">
        <v>800</v>
      </c>
      <c r="H23" s="15">
        <f t="shared" si="3"/>
        <v>233600</v>
      </c>
      <c r="I23" s="15">
        <v>2</v>
      </c>
      <c r="J23" s="15">
        <v>5</v>
      </c>
      <c r="K23" s="15">
        <f t="shared" si="7"/>
        <v>160000</v>
      </c>
      <c r="L23" s="15">
        <v>60</v>
      </c>
      <c r="M23" s="15">
        <f t="shared" si="4"/>
        <v>17880</v>
      </c>
      <c r="N23" s="15">
        <v>145</v>
      </c>
      <c r="O23" s="15">
        <v>200</v>
      </c>
      <c r="P23" s="15">
        <f t="shared" si="5"/>
        <v>29000</v>
      </c>
      <c r="Q23" s="15">
        <v>1</v>
      </c>
      <c r="R23" s="15">
        <v>6000</v>
      </c>
      <c r="S23" s="15">
        <f t="shared" si="6"/>
        <v>6000</v>
      </c>
      <c r="T23" s="17" t="s">
        <v>33</v>
      </c>
    </row>
    <row r="24" s="3" customFormat="1" ht="19.5" customHeight="1" spans="1:20">
      <c r="A24" s="10">
        <v>11</v>
      </c>
      <c r="B24" s="28" t="s">
        <v>38</v>
      </c>
      <c r="C24" s="17">
        <f t="shared" si="0"/>
        <v>1709020</v>
      </c>
      <c r="D24" s="17">
        <f t="shared" si="1"/>
        <v>1957</v>
      </c>
      <c r="E24" s="17">
        <f t="shared" si="2"/>
        <v>1561600</v>
      </c>
      <c r="F24" s="15">
        <f>1957-5</f>
        <v>1952</v>
      </c>
      <c r="G24" s="15">
        <v>800</v>
      </c>
      <c r="H24" s="15">
        <f t="shared" si="3"/>
        <v>1561600</v>
      </c>
      <c r="I24" s="15"/>
      <c r="J24" s="15"/>
      <c r="K24" s="15">
        <f t="shared" si="7"/>
        <v>0</v>
      </c>
      <c r="L24" s="15">
        <v>60</v>
      </c>
      <c r="M24" s="15">
        <f t="shared" si="4"/>
        <v>117420</v>
      </c>
      <c r="N24" s="15"/>
      <c r="O24" s="15"/>
      <c r="P24" s="15">
        <f t="shared" si="5"/>
        <v>0</v>
      </c>
      <c r="Q24" s="15">
        <v>5</v>
      </c>
      <c r="R24" s="15">
        <v>6000</v>
      </c>
      <c r="S24" s="15">
        <f t="shared" si="6"/>
        <v>30000</v>
      </c>
      <c r="T24" s="17"/>
    </row>
    <row r="25" s="3" customFormat="1" ht="19.5" customHeight="1" spans="1:20">
      <c r="A25" s="10">
        <v>12</v>
      </c>
      <c r="B25" s="28" t="s">
        <v>39</v>
      </c>
      <c r="C25" s="17">
        <f t="shared" si="0"/>
        <v>1470880</v>
      </c>
      <c r="D25" s="17">
        <f t="shared" si="1"/>
        <v>1668</v>
      </c>
      <c r="E25" s="17">
        <f t="shared" si="2"/>
        <v>1328800</v>
      </c>
      <c r="F25" s="15">
        <f>1668-7</f>
        <v>1661</v>
      </c>
      <c r="G25" s="15">
        <v>800</v>
      </c>
      <c r="H25" s="15">
        <f t="shared" si="3"/>
        <v>1328800</v>
      </c>
      <c r="I25" s="15"/>
      <c r="J25" s="15"/>
      <c r="K25" s="15">
        <f t="shared" si="7"/>
        <v>0</v>
      </c>
      <c r="L25" s="15">
        <v>60</v>
      </c>
      <c r="M25" s="15">
        <f t="shared" si="4"/>
        <v>100080</v>
      </c>
      <c r="N25" s="15"/>
      <c r="O25" s="15"/>
      <c r="P25" s="15">
        <f t="shared" si="5"/>
        <v>0</v>
      </c>
      <c r="Q25" s="15">
        <v>7</v>
      </c>
      <c r="R25" s="15">
        <v>6000</v>
      </c>
      <c r="S25" s="15">
        <f t="shared" si="6"/>
        <v>42000</v>
      </c>
      <c r="T25" s="17"/>
    </row>
    <row r="26" s="3" customFormat="1" ht="19.5" customHeight="1" spans="1:20">
      <c r="A26" s="10">
        <v>13</v>
      </c>
      <c r="B26" s="28" t="s">
        <v>40</v>
      </c>
      <c r="C26" s="17">
        <f t="shared" si="0"/>
        <v>264220</v>
      </c>
      <c r="D26" s="17">
        <f t="shared" si="1"/>
        <v>277</v>
      </c>
      <c r="E26" s="17">
        <f t="shared" si="2"/>
        <v>217600</v>
      </c>
      <c r="F26" s="15">
        <f>277-5</f>
        <v>272</v>
      </c>
      <c r="G26" s="15">
        <v>800</v>
      </c>
      <c r="H26" s="15">
        <f t="shared" si="3"/>
        <v>217600</v>
      </c>
      <c r="I26" s="15"/>
      <c r="J26" s="15"/>
      <c r="K26" s="15">
        <f t="shared" si="7"/>
        <v>0</v>
      </c>
      <c r="L26" s="15">
        <v>60</v>
      </c>
      <c r="M26" s="15">
        <f t="shared" si="4"/>
        <v>16620</v>
      </c>
      <c r="N26" s="15"/>
      <c r="O26" s="15"/>
      <c r="P26" s="15">
        <f t="shared" si="5"/>
        <v>0</v>
      </c>
      <c r="Q26" s="15">
        <v>5</v>
      </c>
      <c r="R26" s="15">
        <v>6000</v>
      </c>
      <c r="S26" s="15">
        <f t="shared" si="6"/>
        <v>30000</v>
      </c>
      <c r="T26" s="17"/>
    </row>
    <row r="27" s="3" customFormat="1" ht="19.5" customHeight="1" spans="1:20">
      <c r="A27" s="10">
        <v>14</v>
      </c>
      <c r="B27" s="28" t="s">
        <v>41</v>
      </c>
      <c r="C27" s="17">
        <f t="shared" si="0"/>
        <v>279580</v>
      </c>
      <c r="D27" s="17">
        <f t="shared" si="1"/>
        <v>313</v>
      </c>
      <c r="E27" s="17">
        <f t="shared" si="2"/>
        <v>248800</v>
      </c>
      <c r="F27" s="15">
        <f>313-2</f>
        <v>311</v>
      </c>
      <c r="G27" s="15">
        <v>800</v>
      </c>
      <c r="H27" s="15">
        <f t="shared" si="3"/>
        <v>248800</v>
      </c>
      <c r="I27" s="15"/>
      <c r="J27" s="15"/>
      <c r="K27" s="15">
        <f t="shared" si="7"/>
        <v>0</v>
      </c>
      <c r="L27" s="15">
        <v>60</v>
      </c>
      <c r="M27" s="15">
        <f t="shared" si="4"/>
        <v>18780</v>
      </c>
      <c r="N27" s="15"/>
      <c r="O27" s="15"/>
      <c r="P27" s="15">
        <f t="shared" si="5"/>
        <v>0</v>
      </c>
      <c r="Q27" s="15">
        <v>2</v>
      </c>
      <c r="R27" s="15">
        <v>6000</v>
      </c>
      <c r="S27" s="15">
        <f t="shared" si="6"/>
        <v>12000</v>
      </c>
      <c r="T27" s="17"/>
    </row>
    <row r="28" s="3" customFormat="1" ht="19.5" customHeight="1" spans="1:20">
      <c r="A28" s="10">
        <v>15</v>
      </c>
      <c r="B28" s="28" t="s">
        <v>42</v>
      </c>
      <c r="C28" s="17">
        <f t="shared" si="0"/>
        <v>881080</v>
      </c>
      <c r="D28" s="17">
        <f t="shared" si="1"/>
        <v>928</v>
      </c>
      <c r="E28" s="17">
        <f t="shared" si="2"/>
        <v>768000</v>
      </c>
      <c r="F28" s="15">
        <f>864-4</f>
        <v>860</v>
      </c>
      <c r="G28" s="15">
        <v>800</v>
      </c>
      <c r="H28" s="15">
        <f t="shared" si="3"/>
        <v>688000</v>
      </c>
      <c r="I28" s="15">
        <v>1</v>
      </c>
      <c r="J28" s="15">
        <v>64</v>
      </c>
      <c r="K28" s="15">
        <f t="shared" si="7"/>
        <v>80000</v>
      </c>
      <c r="L28" s="15">
        <v>60</v>
      </c>
      <c r="M28" s="15">
        <f t="shared" si="4"/>
        <v>55680</v>
      </c>
      <c r="N28" s="15">
        <v>167</v>
      </c>
      <c r="O28" s="15">
        <v>200</v>
      </c>
      <c r="P28" s="15">
        <f t="shared" si="5"/>
        <v>33400</v>
      </c>
      <c r="Q28" s="15">
        <v>4</v>
      </c>
      <c r="R28" s="15">
        <v>6000</v>
      </c>
      <c r="S28" s="15">
        <f t="shared" si="6"/>
        <v>24000</v>
      </c>
      <c r="T28" s="17"/>
    </row>
    <row r="29" s="3" customFormat="1" ht="19.5" customHeight="1" spans="1:20">
      <c r="A29" s="10">
        <v>16</v>
      </c>
      <c r="B29" s="28" t="s">
        <v>43</v>
      </c>
      <c r="C29" s="17">
        <f t="shared" si="0"/>
        <v>286260</v>
      </c>
      <c r="D29" s="17">
        <f t="shared" si="1"/>
        <v>111</v>
      </c>
      <c r="E29" s="17">
        <f t="shared" si="2"/>
        <v>240000</v>
      </c>
      <c r="F29" s="15"/>
      <c r="G29" s="15">
        <v>800</v>
      </c>
      <c r="H29" s="15">
        <f t="shared" si="3"/>
        <v>0</v>
      </c>
      <c r="I29" s="15">
        <v>3</v>
      </c>
      <c r="J29" s="15">
        <f>111-5</f>
        <v>106</v>
      </c>
      <c r="K29" s="15">
        <f t="shared" si="7"/>
        <v>240000</v>
      </c>
      <c r="L29" s="15">
        <v>60</v>
      </c>
      <c r="M29" s="15">
        <f t="shared" si="4"/>
        <v>6660</v>
      </c>
      <c r="N29" s="15">
        <v>48</v>
      </c>
      <c r="O29" s="15">
        <v>200</v>
      </c>
      <c r="P29" s="15">
        <f t="shared" si="5"/>
        <v>9600</v>
      </c>
      <c r="Q29" s="15">
        <v>5</v>
      </c>
      <c r="R29" s="15">
        <v>6000</v>
      </c>
      <c r="S29" s="15">
        <f t="shared" si="6"/>
        <v>30000</v>
      </c>
      <c r="T29" s="17"/>
    </row>
    <row r="30" s="3" customFormat="1" ht="19.5" customHeight="1" spans="1:20">
      <c r="A30" s="10">
        <v>17</v>
      </c>
      <c r="B30" s="28" t="s">
        <v>44</v>
      </c>
      <c r="C30" s="17">
        <f t="shared" si="0"/>
        <v>1461140</v>
      </c>
      <c r="D30" s="17">
        <f t="shared" si="1"/>
        <v>1239</v>
      </c>
      <c r="E30" s="17">
        <f t="shared" si="2"/>
        <v>1324800</v>
      </c>
      <c r="F30" s="15">
        <f>1162-6</f>
        <v>1156</v>
      </c>
      <c r="G30" s="15">
        <v>800</v>
      </c>
      <c r="H30" s="15">
        <f t="shared" si="3"/>
        <v>924800</v>
      </c>
      <c r="I30" s="15">
        <v>5</v>
      </c>
      <c r="J30" s="15">
        <v>77</v>
      </c>
      <c r="K30" s="15">
        <f t="shared" si="7"/>
        <v>400000</v>
      </c>
      <c r="L30" s="15">
        <v>60</v>
      </c>
      <c r="M30" s="15">
        <f t="shared" si="4"/>
        <v>74340</v>
      </c>
      <c r="N30" s="15">
        <v>130</v>
      </c>
      <c r="O30" s="15">
        <v>200</v>
      </c>
      <c r="P30" s="15">
        <f t="shared" si="5"/>
        <v>26000</v>
      </c>
      <c r="Q30" s="15">
        <v>6</v>
      </c>
      <c r="R30" s="15">
        <v>6000</v>
      </c>
      <c r="S30" s="15">
        <f t="shared" si="6"/>
        <v>36000</v>
      </c>
      <c r="T30" s="17"/>
    </row>
    <row r="31" s="3" customFormat="1" ht="19.5" customHeight="1" spans="1:20">
      <c r="A31" s="10">
        <v>18</v>
      </c>
      <c r="B31" s="28" t="s">
        <v>45</v>
      </c>
      <c r="C31" s="17">
        <f t="shared" si="0"/>
        <v>443640</v>
      </c>
      <c r="D31" s="17">
        <f t="shared" si="1"/>
        <v>284</v>
      </c>
      <c r="E31" s="17">
        <f t="shared" si="2"/>
        <v>379200</v>
      </c>
      <c r="F31" s="15">
        <f>278-4</f>
        <v>274</v>
      </c>
      <c r="G31" s="15">
        <v>800</v>
      </c>
      <c r="H31" s="15">
        <f t="shared" si="3"/>
        <v>219200</v>
      </c>
      <c r="I31" s="15">
        <v>2</v>
      </c>
      <c r="J31" s="15">
        <v>6</v>
      </c>
      <c r="K31" s="15">
        <f t="shared" si="7"/>
        <v>160000</v>
      </c>
      <c r="L31" s="15">
        <v>60</v>
      </c>
      <c r="M31" s="15">
        <f t="shared" si="4"/>
        <v>17040</v>
      </c>
      <c r="N31" s="15">
        <v>117</v>
      </c>
      <c r="O31" s="15">
        <v>200</v>
      </c>
      <c r="P31" s="15">
        <f t="shared" si="5"/>
        <v>23400</v>
      </c>
      <c r="Q31" s="15">
        <v>4</v>
      </c>
      <c r="R31" s="15">
        <v>6000</v>
      </c>
      <c r="S31" s="15">
        <f t="shared" si="6"/>
        <v>24000</v>
      </c>
      <c r="T31" s="17"/>
    </row>
    <row r="32" s="3" customFormat="1" ht="19.5" customHeight="1" spans="1:20">
      <c r="A32" s="10">
        <v>19</v>
      </c>
      <c r="B32" s="28" t="s">
        <v>46</v>
      </c>
      <c r="C32" s="17">
        <f t="shared" si="0"/>
        <v>1111440</v>
      </c>
      <c r="D32" s="17">
        <f t="shared" si="1"/>
        <v>904</v>
      </c>
      <c r="E32" s="17">
        <f t="shared" si="2"/>
        <v>954400</v>
      </c>
      <c r="F32" s="15">
        <f>897-4</f>
        <v>893</v>
      </c>
      <c r="G32" s="15">
        <v>800</v>
      </c>
      <c r="H32" s="15">
        <f t="shared" si="3"/>
        <v>714400</v>
      </c>
      <c r="I32" s="15">
        <v>3</v>
      </c>
      <c r="J32" s="15">
        <v>7</v>
      </c>
      <c r="K32" s="15">
        <f t="shared" si="7"/>
        <v>240000</v>
      </c>
      <c r="L32" s="15">
        <v>60</v>
      </c>
      <c r="M32" s="15">
        <f t="shared" si="4"/>
        <v>54240</v>
      </c>
      <c r="N32" s="15">
        <v>394</v>
      </c>
      <c r="O32" s="15">
        <v>200</v>
      </c>
      <c r="P32" s="15">
        <f t="shared" si="5"/>
        <v>78800</v>
      </c>
      <c r="Q32" s="15">
        <v>4</v>
      </c>
      <c r="R32" s="15">
        <v>6000</v>
      </c>
      <c r="S32" s="15">
        <f t="shared" si="6"/>
        <v>24000</v>
      </c>
      <c r="T32" s="17"/>
    </row>
    <row r="33" s="3" customFormat="1" ht="19.5" customHeight="1" spans="1:20">
      <c r="A33" s="10">
        <v>20</v>
      </c>
      <c r="B33" s="28" t="s">
        <v>47</v>
      </c>
      <c r="C33" s="17">
        <f t="shared" si="0"/>
        <v>511520</v>
      </c>
      <c r="D33" s="17">
        <f t="shared" si="1"/>
        <v>482</v>
      </c>
      <c r="E33" s="17">
        <f t="shared" si="2"/>
        <v>460000</v>
      </c>
      <c r="F33" s="15">
        <f>478-3</f>
        <v>475</v>
      </c>
      <c r="G33" s="15">
        <v>800</v>
      </c>
      <c r="H33" s="15">
        <f t="shared" si="3"/>
        <v>380000</v>
      </c>
      <c r="I33" s="15">
        <v>1</v>
      </c>
      <c r="J33" s="15">
        <v>4</v>
      </c>
      <c r="K33" s="15">
        <f t="shared" si="7"/>
        <v>80000</v>
      </c>
      <c r="L33" s="15">
        <v>60</v>
      </c>
      <c r="M33" s="15">
        <f t="shared" si="4"/>
        <v>28920</v>
      </c>
      <c r="N33" s="15">
        <v>23</v>
      </c>
      <c r="O33" s="15">
        <v>200</v>
      </c>
      <c r="P33" s="15">
        <f t="shared" si="5"/>
        <v>4600</v>
      </c>
      <c r="Q33" s="15">
        <v>3</v>
      </c>
      <c r="R33" s="15">
        <v>6000</v>
      </c>
      <c r="S33" s="15">
        <f t="shared" si="6"/>
        <v>18000</v>
      </c>
      <c r="T33" s="17"/>
    </row>
    <row r="34" s="3" customFormat="1" ht="19.5" customHeight="1" spans="1:20">
      <c r="A34" s="10">
        <v>21</v>
      </c>
      <c r="B34" s="28" t="s">
        <v>48</v>
      </c>
      <c r="C34" s="17">
        <f t="shared" si="0"/>
        <v>640040</v>
      </c>
      <c r="D34" s="17">
        <f t="shared" si="1"/>
        <v>274</v>
      </c>
      <c r="E34" s="17">
        <f t="shared" si="2"/>
        <v>603200</v>
      </c>
      <c r="F34" s="15">
        <v>254</v>
      </c>
      <c r="G34" s="15">
        <v>800</v>
      </c>
      <c r="H34" s="15">
        <f t="shared" si="3"/>
        <v>203200</v>
      </c>
      <c r="I34" s="15">
        <v>5</v>
      </c>
      <c r="J34" s="15">
        <v>20</v>
      </c>
      <c r="K34" s="15">
        <f t="shared" si="7"/>
        <v>400000</v>
      </c>
      <c r="L34" s="15">
        <v>60</v>
      </c>
      <c r="M34" s="15">
        <f t="shared" si="4"/>
        <v>16440</v>
      </c>
      <c r="N34" s="15">
        <v>102</v>
      </c>
      <c r="O34" s="15">
        <v>200</v>
      </c>
      <c r="P34" s="15">
        <f t="shared" si="5"/>
        <v>20400</v>
      </c>
      <c r="Q34" s="15"/>
      <c r="R34" s="15"/>
      <c r="S34" s="15">
        <f t="shared" si="6"/>
        <v>0</v>
      </c>
      <c r="T34" s="17"/>
    </row>
    <row r="35" s="3" customFormat="1" ht="19.5" customHeight="1" spans="1:20">
      <c r="A35" s="10">
        <v>22</v>
      </c>
      <c r="B35" s="28" t="s">
        <v>49</v>
      </c>
      <c r="C35" s="17">
        <f t="shared" si="0"/>
        <v>284860</v>
      </c>
      <c r="D35" s="17">
        <f t="shared" si="1"/>
        <v>121</v>
      </c>
      <c r="E35" s="17">
        <f t="shared" si="2"/>
        <v>240000</v>
      </c>
      <c r="F35" s="15"/>
      <c r="G35" s="15">
        <v>800</v>
      </c>
      <c r="H35" s="15">
        <f t="shared" si="3"/>
        <v>0</v>
      </c>
      <c r="I35" s="15">
        <v>3</v>
      </c>
      <c r="J35" s="15">
        <f>121-4</f>
        <v>117</v>
      </c>
      <c r="K35" s="15">
        <f t="shared" si="7"/>
        <v>240000</v>
      </c>
      <c r="L35" s="15">
        <v>60</v>
      </c>
      <c r="M35" s="15">
        <f t="shared" si="4"/>
        <v>7260</v>
      </c>
      <c r="N35" s="15">
        <v>68</v>
      </c>
      <c r="O35" s="15">
        <v>200</v>
      </c>
      <c r="P35" s="15">
        <f t="shared" si="5"/>
        <v>13600</v>
      </c>
      <c r="Q35" s="15">
        <v>4</v>
      </c>
      <c r="R35" s="15">
        <v>6000</v>
      </c>
      <c r="S35" s="15">
        <f t="shared" si="6"/>
        <v>24000</v>
      </c>
      <c r="T35" s="17"/>
    </row>
    <row r="36" s="3" customFormat="1" ht="19.5" customHeight="1" spans="1:20">
      <c r="A36" s="10">
        <v>23</v>
      </c>
      <c r="B36" s="28" t="s">
        <v>50</v>
      </c>
      <c r="C36" s="17">
        <f t="shared" si="0"/>
        <v>261200</v>
      </c>
      <c r="D36" s="17">
        <f t="shared" si="1"/>
        <v>200</v>
      </c>
      <c r="E36" s="17">
        <f t="shared" si="2"/>
        <v>235200</v>
      </c>
      <c r="F36" s="15">
        <v>194</v>
      </c>
      <c r="G36" s="15">
        <v>800</v>
      </c>
      <c r="H36" s="15">
        <f t="shared" si="3"/>
        <v>155200</v>
      </c>
      <c r="I36" s="15">
        <v>1</v>
      </c>
      <c r="J36" s="15">
        <v>6</v>
      </c>
      <c r="K36" s="15">
        <f t="shared" si="7"/>
        <v>80000</v>
      </c>
      <c r="L36" s="15">
        <v>60</v>
      </c>
      <c r="M36" s="15">
        <f t="shared" si="4"/>
        <v>12000</v>
      </c>
      <c r="N36" s="15">
        <v>70</v>
      </c>
      <c r="O36" s="15">
        <v>200</v>
      </c>
      <c r="P36" s="15">
        <f t="shared" si="5"/>
        <v>14000</v>
      </c>
      <c r="Q36" s="15"/>
      <c r="R36" s="15"/>
      <c r="S36" s="15">
        <f t="shared" si="6"/>
        <v>0</v>
      </c>
      <c r="T36" s="17"/>
    </row>
    <row r="37" s="3" customFormat="1" ht="19.5" customHeight="1" spans="1:20">
      <c r="A37" s="10">
        <v>24</v>
      </c>
      <c r="B37" s="28" t="s">
        <v>51</v>
      </c>
      <c r="C37" s="17">
        <f t="shared" si="0"/>
        <v>293480</v>
      </c>
      <c r="D37" s="17">
        <f t="shared" si="1"/>
        <v>128</v>
      </c>
      <c r="E37" s="17">
        <f t="shared" si="2"/>
        <v>256000</v>
      </c>
      <c r="F37" s="15">
        <f>122-2</f>
        <v>120</v>
      </c>
      <c r="G37" s="15">
        <v>800</v>
      </c>
      <c r="H37" s="15">
        <f t="shared" si="3"/>
        <v>96000</v>
      </c>
      <c r="I37" s="15">
        <v>2</v>
      </c>
      <c r="J37" s="15">
        <v>6</v>
      </c>
      <c r="K37" s="15">
        <f t="shared" si="7"/>
        <v>160000</v>
      </c>
      <c r="L37" s="15">
        <v>60</v>
      </c>
      <c r="M37" s="15">
        <f t="shared" si="4"/>
        <v>7680</v>
      </c>
      <c r="N37" s="15">
        <v>89</v>
      </c>
      <c r="O37" s="15">
        <v>200</v>
      </c>
      <c r="P37" s="15">
        <f t="shared" si="5"/>
        <v>17800</v>
      </c>
      <c r="Q37" s="15">
        <v>2</v>
      </c>
      <c r="R37" s="15">
        <v>6000</v>
      </c>
      <c r="S37" s="15">
        <f t="shared" si="6"/>
        <v>12000</v>
      </c>
      <c r="T37" s="17"/>
    </row>
    <row r="38" s="3" customFormat="1" ht="19.5" customHeight="1" spans="1:20">
      <c r="A38" s="10">
        <v>25</v>
      </c>
      <c r="B38" s="28" t="s">
        <v>52</v>
      </c>
      <c r="C38" s="17">
        <f t="shared" si="0"/>
        <v>184720</v>
      </c>
      <c r="D38" s="17">
        <f t="shared" si="1"/>
        <v>82</v>
      </c>
      <c r="E38" s="17">
        <f t="shared" si="2"/>
        <v>160000</v>
      </c>
      <c r="F38" s="15"/>
      <c r="G38" s="15">
        <v>800</v>
      </c>
      <c r="H38" s="15">
        <f t="shared" si="3"/>
        <v>0</v>
      </c>
      <c r="I38" s="15">
        <v>2</v>
      </c>
      <c r="J38" s="15">
        <f>82-1</f>
        <v>81</v>
      </c>
      <c r="K38" s="15">
        <f t="shared" si="7"/>
        <v>160000</v>
      </c>
      <c r="L38" s="15">
        <v>60</v>
      </c>
      <c r="M38" s="15">
        <f t="shared" si="4"/>
        <v>4920</v>
      </c>
      <c r="N38" s="15">
        <v>69</v>
      </c>
      <c r="O38" s="15">
        <v>200</v>
      </c>
      <c r="P38" s="15">
        <f t="shared" si="5"/>
        <v>13800</v>
      </c>
      <c r="Q38" s="15">
        <v>1</v>
      </c>
      <c r="R38" s="15">
        <v>6000</v>
      </c>
      <c r="S38" s="15">
        <f t="shared" si="6"/>
        <v>6000</v>
      </c>
      <c r="T38" s="17"/>
    </row>
    <row r="39" s="3" customFormat="1" ht="19.5" customHeight="1" spans="1:20">
      <c r="A39" s="10">
        <v>26</v>
      </c>
      <c r="B39" s="28" t="s">
        <v>53</v>
      </c>
      <c r="C39" s="17">
        <f t="shared" si="0"/>
        <v>168460</v>
      </c>
      <c r="D39" s="17">
        <f t="shared" si="1"/>
        <v>41</v>
      </c>
      <c r="E39" s="17">
        <f t="shared" si="2"/>
        <v>160000</v>
      </c>
      <c r="F39" s="15"/>
      <c r="G39" s="15">
        <v>800</v>
      </c>
      <c r="H39" s="15">
        <f t="shared" si="3"/>
        <v>0</v>
      </c>
      <c r="I39" s="15">
        <v>2</v>
      </c>
      <c r="J39" s="15">
        <v>41</v>
      </c>
      <c r="K39" s="15">
        <f t="shared" si="7"/>
        <v>160000</v>
      </c>
      <c r="L39" s="15">
        <v>60</v>
      </c>
      <c r="M39" s="15">
        <f t="shared" si="4"/>
        <v>2460</v>
      </c>
      <c r="N39" s="15">
        <v>30</v>
      </c>
      <c r="O39" s="15">
        <v>200</v>
      </c>
      <c r="P39" s="15">
        <f t="shared" si="5"/>
        <v>6000</v>
      </c>
      <c r="Q39" s="15"/>
      <c r="R39" s="15"/>
      <c r="S39" s="15">
        <f t="shared" si="6"/>
        <v>0</v>
      </c>
      <c r="T39" s="17"/>
    </row>
  </sheetData>
  <mergeCells count="31">
    <mergeCell ref="A1:T1"/>
    <mergeCell ref="P2:T2"/>
    <mergeCell ref="D3:K3"/>
    <mergeCell ref="L3:M3"/>
    <mergeCell ref="N3:P3"/>
    <mergeCell ref="Q3:S3"/>
    <mergeCell ref="D4:E4"/>
    <mergeCell ref="F4:H4"/>
    <mergeCell ref="I4:K4"/>
    <mergeCell ref="A3:A5"/>
    <mergeCell ref="A14:A15"/>
    <mergeCell ref="A16:A17"/>
    <mergeCell ref="A18:A19"/>
    <mergeCell ref="A20:A21"/>
    <mergeCell ref="A22:A23"/>
    <mergeCell ref="B3:B5"/>
    <mergeCell ref="B14:B15"/>
    <mergeCell ref="B16:B17"/>
    <mergeCell ref="B18:B19"/>
    <mergeCell ref="B20:B21"/>
    <mergeCell ref="B22:B23"/>
    <mergeCell ref="C3:C5"/>
    <mergeCell ref="L4:L5"/>
    <mergeCell ref="M4:M5"/>
    <mergeCell ref="N4:N5"/>
    <mergeCell ref="O4:O5"/>
    <mergeCell ref="P4:P5"/>
    <mergeCell ref="Q4:Q5"/>
    <mergeCell ref="R4:R5"/>
    <mergeCell ref="S4:S5"/>
    <mergeCell ref="T3:T5"/>
  </mergeCells>
  <printOptions horizontalCentered="1"/>
  <pageMargins left="0.2" right="0.2" top="0.79" bottom="0.79" header="0.51" footer="0.51"/>
  <pageSetup paperSize="9" orientation="landscape" blackAndWhite="1" verticalDpi="300"/>
  <headerFooter alignWithMargins="0">
    <oddHeader>&amp;L附件：</oddHead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D29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4.25"/>
  <cols>
    <col min="1" max="1" width="4.875" style="4" customWidth="1"/>
    <col min="2" max="2" width="25.5" style="5" customWidth="1"/>
    <col min="3" max="4" width="18.875" style="6" customWidth="1"/>
    <col min="5" max="16384" width="9" style="4"/>
  </cols>
  <sheetData>
    <row r="1" s="1" customFormat="1" ht="37.5" customHeight="1" spans="1:4">
      <c r="A1" s="26" t="s">
        <v>66</v>
      </c>
      <c r="B1" s="26"/>
      <c r="C1" s="26"/>
      <c r="D1" s="26"/>
    </row>
    <row r="2" s="1" customFormat="1" ht="21.75" customHeight="1" spans="1:4">
      <c r="A2" s="10" t="s">
        <v>2</v>
      </c>
      <c r="B2" s="10" t="s">
        <v>3</v>
      </c>
      <c r="C2" s="18" t="s">
        <v>67</v>
      </c>
      <c r="D2" s="10" t="s">
        <v>68</v>
      </c>
    </row>
    <row r="3" s="1" customFormat="1" ht="30.75" customHeight="1" spans="1:4">
      <c r="A3" s="10"/>
      <c r="B3" s="10"/>
      <c r="C3" s="20"/>
      <c r="D3" s="10"/>
    </row>
    <row r="4" ht="19.5" customHeight="1" spans="1:30">
      <c r="A4" s="13"/>
      <c r="B4" s="14" t="s">
        <v>23</v>
      </c>
      <c r="C4" s="15">
        <f>SUM(C5:C29)</f>
        <v>14717</v>
      </c>
      <c r="D4" s="15">
        <f>SUM(D5:D29)</f>
        <v>16697620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="3" customFormat="1" ht="19.5" customHeight="1" spans="1:4">
      <c r="A5" s="10">
        <v>1</v>
      </c>
      <c r="B5" s="14" t="s">
        <v>38</v>
      </c>
      <c r="C5" s="10">
        <v>2199</v>
      </c>
      <c r="D5" s="27">
        <v>1891140</v>
      </c>
    </row>
    <row r="6" s="3" customFormat="1" ht="19.5" customHeight="1" spans="1:4">
      <c r="A6" s="10">
        <v>2</v>
      </c>
      <c r="B6" s="14" t="s">
        <v>26</v>
      </c>
      <c r="C6" s="10">
        <v>1325</v>
      </c>
      <c r="D6" s="27">
        <v>1412900</v>
      </c>
    </row>
    <row r="7" s="3" customFormat="1" ht="19.5" customHeight="1" spans="1:4">
      <c r="A7" s="10">
        <v>3</v>
      </c>
      <c r="B7" s="14" t="s">
        <v>44</v>
      </c>
      <c r="C7" s="10">
        <v>1203</v>
      </c>
      <c r="D7" s="27">
        <v>1367580</v>
      </c>
    </row>
    <row r="8" s="3" customFormat="1" ht="19.5" customHeight="1" spans="1:4">
      <c r="A8" s="10">
        <v>4</v>
      </c>
      <c r="B8" s="14" t="s">
        <v>39</v>
      </c>
      <c r="C8" s="10">
        <v>1569</v>
      </c>
      <c r="D8" s="27">
        <v>1349340</v>
      </c>
    </row>
    <row r="9" s="3" customFormat="1" ht="19.5" customHeight="1" spans="1:4">
      <c r="A9" s="10">
        <v>5</v>
      </c>
      <c r="B9" s="14" t="s">
        <v>46</v>
      </c>
      <c r="C9" s="10">
        <v>1004</v>
      </c>
      <c r="D9" s="27">
        <v>1150240</v>
      </c>
    </row>
    <row r="10" s="3" customFormat="1" ht="19.5" customHeight="1" spans="1:4">
      <c r="A10" s="10">
        <v>6</v>
      </c>
      <c r="B10" s="14" t="s">
        <v>34</v>
      </c>
      <c r="C10" s="10">
        <f>196+434</f>
        <v>630</v>
      </c>
      <c r="D10" s="27">
        <v>801600</v>
      </c>
    </row>
    <row r="11" s="3" customFormat="1" ht="19.5" customHeight="1" spans="1:4">
      <c r="A11" s="10">
        <v>7</v>
      </c>
      <c r="B11" s="19" t="s">
        <v>29</v>
      </c>
      <c r="C11" s="18">
        <v>613</v>
      </c>
      <c r="D11" s="27">
        <v>763580</v>
      </c>
    </row>
    <row r="12" s="3" customFormat="1" ht="19.5" customHeight="1" spans="1:4">
      <c r="A12" s="10">
        <v>8</v>
      </c>
      <c r="B12" s="14" t="s">
        <v>42</v>
      </c>
      <c r="C12" s="10">
        <v>835</v>
      </c>
      <c r="D12" s="27">
        <v>759100</v>
      </c>
    </row>
    <row r="13" s="3" customFormat="1" ht="19.5" customHeight="1" spans="1:4">
      <c r="A13" s="10">
        <v>9</v>
      </c>
      <c r="B13" s="14" t="s">
        <v>28</v>
      </c>
      <c r="C13" s="10">
        <v>632</v>
      </c>
      <c r="D13" s="27">
        <v>740720</v>
      </c>
    </row>
    <row r="14" s="3" customFormat="1" ht="19.5" customHeight="1" spans="1:4">
      <c r="A14" s="10">
        <v>10</v>
      </c>
      <c r="B14" s="14" t="s">
        <v>27</v>
      </c>
      <c r="C14" s="10">
        <v>593</v>
      </c>
      <c r="D14" s="27">
        <v>699980</v>
      </c>
    </row>
    <row r="15" s="3" customFormat="1" ht="19.5" customHeight="1" spans="1:4">
      <c r="A15" s="10">
        <v>11</v>
      </c>
      <c r="B15" s="14" t="s">
        <v>48</v>
      </c>
      <c r="C15" s="10">
        <v>292</v>
      </c>
      <c r="D15" s="27">
        <v>648320</v>
      </c>
    </row>
    <row r="16" s="3" customFormat="1" ht="19.5" customHeight="1" spans="1:4">
      <c r="A16" s="10">
        <v>12</v>
      </c>
      <c r="B16" s="14" t="s">
        <v>37</v>
      </c>
      <c r="C16" s="10">
        <f>146+309</f>
        <v>455</v>
      </c>
      <c r="D16" s="27">
        <v>620300</v>
      </c>
    </row>
    <row r="17" s="3" customFormat="1" ht="19.5" customHeight="1" spans="1:4">
      <c r="A17" s="10">
        <v>13</v>
      </c>
      <c r="B17" s="14" t="s">
        <v>69</v>
      </c>
      <c r="C17" s="10">
        <f>221+338</f>
        <v>559</v>
      </c>
      <c r="D17" s="27">
        <v>613740</v>
      </c>
    </row>
    <row r="18" s="3" customFormat="1" ht="19.5" customHeight="1" spans="1:4">
      <c r="A18" s="10">
        <v>14</v>
      </c>
      <c r="B18" s="14" t="s">
        <v>30</v>
      </c>
      <c r="C18" s="10">
        <v>476</v>
      </c>
      <c r="D18" s="27">
        <v>552560</v>
      </c>
    </row>
    <row r="19" s="3" customFormat="1" ht="19.5" customHeight="1" spans="1:4">
      <c r="A19" s="10">
        <v>15</v>
      </c>
      <c r="B19" s="14" t="s">
        <v>47</v>
      </c>
      <c r="C19" s="10">
        <v>483</v>
      </c>
      <c r="D19" s="27">
        <v>510180</v>
      </c>
    </row>
    <row r="20" s="3" customFormat="1" ht="19.5" customHeight="1" spans="1:4">
      <c r="A20" s="10">
        <v>16</v>
      </c>
      <c r="B20" s="14" t="s">
        <v>70</v>
      </c>
      <c r="C20" s="10">
        <v>329</v>
      </c>
      <c r="D20" s="27">
        <v>450740</v>
      </c>
    </row>
    <row r="21" s="3" customFormat="1" ht="19.5" customHeight="1" spans="1:4">
      <c r="A21" s="10">
        <v>17</v>
      </c>
      <c r="B21" s="14" t="s">
        <v>45</v>
      </c>
      <c r="C21" s="10">
        <v>315</v>
      </c>
      <c r="D21" s="27">
        <v>444900</v>
      </c>
    </row>
    <row r="22" s="3" customFormat="1" ht="19.5" customHeight="1" spans="1:4">
      <c r="A22" s="10">
        <v>18</v>
      </c>
      <c r="B22" s="14" t="s">
        <v>36</v>
      </c>
      <c r="C22" s="10">
        <f>155+97</f>
        <v>252</v>
      </c>
      <c r="D22" s="17">
        <f>277120</f>
        <v>277120</v>
      </c>
    </row>
    <row r="23" s="3" customFormat="1" ht="19.5" customHeight="1" spans="1:4">
      <c r="A23" s="10">
        <v>19</v>
      </c>
      <c r="B23" s="14" t="s">
        <v>71</v>
      </c>
      <c r="C23" s="10">
        <v>130</v>
      </c>
      <c r="D23" s="17">
        <f>158800</f>
        <v>158800</v>
      </c>
    </row>
    <row r="24" s="3" customFormat="1" ht="19.5" customHeight="1" spans="1:4">
      <c r="A24" s="10">
        <v>20</v>
      </c>
      <c r="B24" s="14" t="s">
        <v>51</v>
      </c>
      <c r="C24" s="10">
        <v>139</v>
      </c>
      <c r="D24" s="27">
        <v>290340</v>
      </c>
    </row>
    <row r="25" s="3" customFormat="1" ht="19.5" customHeight="1" spans="1:4">
      <c r="A25" s="10">
        <v>21</v>
      </c>
      <c r="B25" s="14" t="s">
        <v>43</v>
      </c>
      <c r="C25" s="10">
        <v>141</v>
      </c>
      <c r="D25" s="27">
        <v>285060</v>
      </c>
    </row>
    <row r="26" s="3" customFormat="1" ht="19.5" customHeight="1" spans="1:4">
      <c r="A26" s="10">
        <v>22</v>
      </c>
      <c r="B26" s="14" t="s">
        <v>50</v>
      </c>
      <c r="C26" s="10">
        <v>216</v>
      </c>
      <c r="D26" s="27">
        <v>280360</v>
      </c>
    </row>
    <row r="27" s="3" customFormat="1" ht="19.5" customHeight="1" spans="1:4">
      <c r="A27" s="10">
        <v>23</v>
      </c>
      <c r="B27" s="14" t="s">
        <v>49</v>
      </c>
      <c r="C27" s="10">
        <v>164</v>
      </c>
      <c r="D27" s="27">
        <v>272640</v>
      </c>
    </row>
    <row r="28" s="3" customFormat="1" ht="19.5" customHeight="1" spans="1:4">
      <c r="A28" s="10">
        <v>24</v>
      </c>
      <c r="B28" s="14" t="s">
        <v>52</v>
      </c>
      <c r="C28" s="10">
        <v>112</v>
      </c>
      <c r="D28" s="27">
        <v>184520</v>
      </c>
    </row>
    <row r="29" s="3" customFormat="1" ht="19.5" customHeight="1" spans="1:4">
      <c r="A29" s="10">
        <v>25</v>
      </c>
      <c r="B29" s="14" t="s">
        <v>53</v>
      </c>
      <c r="C29" s="10">
        <v>51</v>
      </c>
      <c r="D29" s="27">
        <v>171860</v>
      </c>
    </row>
  </sheetData>
  <mergeCells count="5">
    <mergeCell ref="A1:D1"/>
    <mergeCell ref="A2:A3"/>
    <mergeCell ref="B2:B3"/>
    <mergeCell ref="C2:C3"/>
    <mergeCell ref="D2:D3"/>
  </mergeCells>
  <printOptions horizontalCentered="1" verticalCentered="1"/>
  <pageMargins left="0.39" right="0.39" top="0.79" bottom="0.79" header="0.51" footer="0.51"/>
  <pageSetup paperSize="9" orientation="portrait" blackAndWhite="1" verticalDpi="300"/>
  <headerFooter alignWithMargins="0">
    <oddHeader>&amp;L附件：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U37"/>
  <sheetViews>
    <sheetView showZeros="0" workbookViewId="0">
      <pane xSplit="2" ySplit="8" topLeftCell="C29" activePane="bottomRight" state="frozen"/>
      <selection/>
      <selection pane="topRight"/>
      <selection pane="bottomLeft"/>
      <selection pane="bottomRight" activeCell="C41" sqref="C41"/>
    </sheetView>
  </sheetViews>
  <sheetFormatPr defaultColWidth="9" defaultRowHeight="14.25"/>
  <cols>
    <col min="1" max="1" width="3.875" style="4" customWidth="1"/>
    <col min="2" max="2" width="21.25" style="5" customWidth="1"/>
    <col min="3" max="3" width="9.375" style="6" customWidth="1"/>
    <col min="4" max="4" width="7" style="6" customWidth="1"/>
    <col min="5" max="5" width="8.875" style="6" customWidth="1"/>
    <col min="6" max="6" width="7.25" style="5" customWidth="1"/>
    <col min="7" max="7" width="6.5" style="5" customWidth="1"/>
    <col min="8" max="8" width="9.25" style="5" customWidth="1"/>
    <col min="9" max="10" width="5.5" style="5" customWidth="1"/>
    <col min="11" max="11" width="8.875" style="5" customWidth="1"/>
    <col min="12" max="12" width="7.5" style="4" customWidth="1"/>
    <col min="13" max="13" width="6.5" style="4" customWidth="1"/>
    <col min="14" max="15" width="6.875" style="4" customWidth="1"/>
    <col min="16" max="16" width="7.125" style="4" customWidth="1"/>
    <col min="17" max="17" width="9.5" style="4" customWidth="1"/>
    <col min="18" max="16384" width="9" style="4"/>
  </cols>
  <sheetData>
    <row r="1" ht="26.25" customHeight="1" spans="1:16">
      <c r="A1" s="7" t="s">
        <v>72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21.75" customHeight="1" spans="2:16">
      <c r="B2" s="8"/>
      <c r="C2" s="9"/>
      <c r="D2" s="9"/>
      <c r="E2" s="9"/>
      <c r="F2" s="8"/>
      <c r="G2" s="8"/>
      <c r="H2" s="8"/>
      <c r="I2" s="8"/>
      <c r="J2" s="8"/>
      <c r="K2" s="8"/>
      <c r="L2" s="9"/>
      <c r="M2" s="9"/>
      <c r="N2" s="22" t="s">
        <v>1</v>
      </c>
      <c r="O2" s="22"/>
      <c r="P2" s="22"/>
    </row>
    <row r="3" s="1" customFormat="1" ht="21.75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10"/>
      <c r="L3" s="10" t="s">
        <v>7</v>
      </c>
      <c r="M3" s="10"/>
      <c r="N3" s="10"/>
      <c r="O3" s="23" t="s">
        <v>8</v>
      </c>
      <c r="P3" s="10" t="s">
        <v>9</v>
      </c>
    </row>
    <row r="4" s="1" customFormat="1" ht="30.75" customHeight="1" spans="1:16">
      <c r="A4" s="10"/>
      <c r="B4" s="10"/>
      <c r="C4" s="10"/>
      <c r="D4" s="10" t="s">
        <v>4</v>
      </c>
      <c r="E4" s="10"/>
      <c r="F4" s="11" t="s">
        <v>10</v>
      </c>
      <c r="G4" s="11"/>
      <c r="H4" s="11"/>
      <c r="I4" s="11" t="s">
        <v>73</v>
      </c>
      <c r="J4" s="11"/>
      <c r="K4" s="11"/>
      <c r="L4" s="12" t="s">
        <v>14</v>
      </c>
      <c r="M4" s="12" t="s">
        <v>15</v>
      </c>
      <c r="N4" s="12" t="s">
        <v>16</v>
      </c>
      <c r="O4" s="24"/>
      <c r="P4" s="10"/>
    </row>
    <row r="5" s="2" customFormat="1" ht="33.75" customHeight="1" spans="1:16">
      <c r="A5" s="10"/>
      <c r="B5" s="10"/>
      <c r="C5" s="10"/>
      <c r="D5" s="12" t="s">
        <v>18</v>
      </c>
      <c r="E5" s="12" t="s">
        <v>19</v>
      </c>
      <c r="F5" s="12" t="s">
        <v>20</v>
      </c>
      <c r="G5" s="12" t="s">
        <v>15</v>
      </c>
      <c r="H5" s="12" t="s">
        <v>19</v>
      </c>
      <c r="I5" s="12" t="s">
        <v>21</v>
      </c>
      <c r="J5" s="12" t="s">
        <v>20</v>
      </c>
      <c r="K5" s="12" t="s">
        <v>22</v>
      </c>
      <c r="L5" s="12"/>
      <c r="M5" s="12"/>
      <c r="N5" s="12"/>
      <c r="O5" s="25"/>
      <c r="P5" s="10"/>
    </row>
    <row r="6" ht="19.5" customHeight="1" spans="1:47">
      <c r="A6" s="13"/>
      <c r="B6" s="14" t="s">
        <v>23</v>
      </c>
      <c r="C6" s="15">
        <f>C7+C8</f>
        <v>4100962.5</v>
      </c>
      <c r="D6" s="15">
        <f>D7+D8</f>
        <v>14266</v>
      </c>
      <c r="E6" s="15">
        <f>E7+E8</f>
        <v>3851462.5</v>
      </c>
      <c r="F6" s="15">
        <f>F7+F8</f>
        <v>13593</v>
      </c>
      <c r="G6" s="16"/>
      <c r="H6" s="15">
        <f>H7+H8</f>
        <v>3107712.5</v>
      </c>
      <c r="I6" s="15">
        <f>I7+I8</f>
        <v>35</v>
      </c>
      <c r="J6" s="15">
        <f>J7+J8</f>
        <v>673</v>
      </c>
      <c r="K6" s="15">
        <f>K7+K8</f>
        <v>743750</v>
      </c>
      <c r="L6" s="15">
        <f>L7+L8</f>
        <v>3940</v>
      </c>
      <c r="M6" s="16"/>
      <c r="N6" s="15">
        <f>N7+N8</f>
        <v>197000</v>
      </c>
      <c r="O6" s="15">
        <f>O7+O8</f>
        <v>52500</v>
      </c>
      <c r="P6" s="1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ht="19.5" customHeight="1" spans="1:47">
      <c r="A7" s="13"/>
      <c r="B7" s="14" t="s">
        <v>24</v>
      </c>
      <c r="C7" s="15">
        <f>SUM(C9:C15)+C17+C19+C21</f>
        <v>1305050</v>
      </c>
      <c r="D7" s="15">
        <f>SUM(D9:D15)+D17+D19+D21</f>
        <v>4384</v>
      </c>
      <c r="E7" s="15">
        <f t="shared" ref="E7:O7" si="0">SUM(E9:E15)+E17+E19+E21</f>
        <v>1150800</v>
      </c>
      <c r="F7" s="15">
        <f t="shared" si="0"/>
        <v>4384</v>
      </c>
      <c r="G7" s="15">
        <f t="shared" si="0"/>
        <v>10500</v>
      </c>
      <c r="H7" s="15">
        <f t="shared" si="0"/>
        <v>1150800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2035</v>
      </c>
      <c r="M7" s="15">
        <f t="shared" si="0"/>
        <v>2000</v>
      </c>
      <c r="N7" s="15">
        <f t="shared" si="0"/>
        <v>101750</v>
      </c>
      <c r="O7" s="15">
        <f t="shared" si="0"/>
        <v>52500</v>
      </c>
      <c r="P7" s="10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</row>
    <row r="8" ht="19.5" customHeight="1" spans="1:47">
      <c r="A8" s="13"/>
      <c r="B8" s="14" t="s">
        <v>25</v>
      </c>
      <c r="C8" s="15">
        <f>SUM(C23:C37)+C22+C20+C18+C16</f>
        <v>2795912.5</v>
      </c>
      <c r="D8" s="15">
        <f>SUM(D23:D37)+D22+D20+D18+D16</f>
        <v>9882</v>
      </c>
      <c r="E8" s="15">
        <f t="shared" ref="E8:O8" si="1">SUM(E23:E37)+E22+E20+E18+E16</f>
        <v>2700662.5</v>
      </c>
      <c r="F8" s="15">
        <f t="shared" si="1"/>
        <v>9209</v>
      </c>
      <c r="G8" s="15">
        <f t="shared" si="1"/>
        <v>14450</v>
      </c>
      <c r="H8" s="15">
        <f t="shared" si="1"/>
        <v>1956912.5</v>
      </c>
      <c r="I8" s="15">
        <f t="shared" si="1"/>
        <v>35</v>
      </c>
      <c r="J8" s="15">
        <f t="shared" si="1"/>
        <v>673</v>
      </c>
      <c r="K8" s="15">
        <f t="shared" si="1"/>
        <v>743750</v>
      </c>
      <c r="L8" s="15">
        <f t="shared" si="1"/>
        <v>1905</v>
      </c>
      <c r="M8" s="15">
        <f t="shared" si="1"/>
        <v>3400</v>
      </c>
      <c r="N8" s="15">
        <f t="shared" si="1"/>
        <v>95250</v>
      </c>
      <c r="O8" s="15">
        <f t="shared" si="1"/>
        <v>0</v>
      </c>
      <c r="P8" s="10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="3" customFormat="1" ht="19.5" customHeight="1" spans="1:16">
      <c r="A9" s="10">
        <v>1</v>
      </c>
      <c r="B9" s="14" t="s">
        <v>27</v>
      </c>
      <c r="C9" s="17">
        <f>E9+N9</f>
        <v>175175</v>
      </c>
      <c r="D9" s="17">
        <f>F9+J9</f>
        <v>594</v>
      </c>
      <c r="E9" s="17">
        <f>H9+K9</f>
        <v>155925</v>
      </c>
      <c r="F9" s="15">
        <v>594</v>
      </c>
      <c r="G9" s="15">
        <v>1050</v>
      </c>
      <c r="H9" s="15">
        <f>F9*G9*0.5*0.5</f>
        <v>155925</v>
      </c>
      <c r="I9" s="15"/>
      <c r="J9" s="15"/>
      <c r="K9" s="15"/>
      <c r="L9" s="17">
        <v>385</v>
      </c>
      <c r="M9" s="15">
        <v>200</v>
      </c>
      <c r="N9" s="15">
        <f>L9*M9*0.5*0.5</f>
        <v>19250</v>
      </c>
      <c r="O9" s="15"/>
      <c r="P9" s="10"/>
    </row>
    <row r="10" s="3" customFormat="1" ht="19.5" customHeight="1" spans="1:16">
      <c r="A10" s="10">
        <v>2</v>
      </c>
      <c r="B10" s="14" t="s">
        <v>26</v>
      </c>
      <c r="C10" s="17">
        <f t="shared" ref="C10:C37" si="2">E10+N10</f>
        <v>351550</v>
      </c>
      <c r="D10" s="17">
        <f t="shared" ref="D10:D37" si="3">F10+J10</f>
        <v>1332</v>
      </c>
      <c r="E10" s="17">
        <f t="shared" ref="E10:E37" si="4">H10+K10</f>
        <v>349650</v>
      </c>
      <c r="F10" s="15">
        <v>1332</v>
      </c>
      <c r="G10" s="15">
        <v>1050</v>
      </c>
      <c r="H10" s="15">
        <f t="shared" ref="H10:H37" si="5">F10*G10*0.5*0.5</f>
        <v>349650</v>
      </c>
      <c r="I10" s="15"/>
      <c r="J10" s="15"/>
      <c r="K10" s="15"/>
      <c r="L10" s="17">
        <v>38</v>
      </c>
      <c r="M10" s="15">
        <v>200</v>
      </c>
      <c r="N10" s="15">
        <f t="shared" ref="N10:N37" si="6">L10*M10*0.5*0.5</f>
        <v>1900</v>
      </c>
      <c r="O10" s="15"/>
      <c r="P10" s="10"/>
    </row>
    <row r="11" s="3" customFormat="1" ht="19.5" customHeight="1" spans="1:16">
      <c r="A11" s="10">
        <v>3</v>
      </c>
      <c r="B11" s="14" t="s">
        <v>28</v>
      </c>
      <c r="C11" s="17">
        <f t="shared" si="2"/>
        <v>179962.5</v>
      </c>
      <c r="D11" s="17">
        <f t="shared" si="3"/>
        <v>617</v>
      </c>
      <c r="E11" s="17">
        <f t="shared" si="4"/>
        <v>161962.5</v>
      </c>
      <c r="F11" s="15">
        <v>617</v>
      </c>
      <c r="G11" s="15">
        <v>1050</v>
      </c>
      <c r="H11" s="15">
        <f t="shared" si="5"/>
        <v>161962.5</v>
      </c>
      <c r="I11" s="15"/>
      <c r="J11" s="15"/>
      <c r="K11" s="15"/>
      <c r="L11" s="17">
        <v>360</v>
      </c>
      <c r="M11" s="15">
        <v>200</v>
      </c>
      <c r="N11" s="15">
        <f t="shared" si="6"/>
        <v>18000</v>
      </c>
      <c r="O11" s="15"/>
      <c r="P11" s="10"/>
    </row>
    <row r="12" s="3" customFormat="1" ht="19.5" customHeight="1" spans="1:16">
      <c r="A12" s="10">
        <v>4</v>
      </c>
      <c r="B12" s="14" t="s">
        <v>71</v>
      </c>
      <c r="C12" s="17">
        <f>E12+N12+O12</f>
        <v>91787.5</v>
      </c>
      <c r="D12" s="17">
        <f t="shared" si="3"/>
        <v>131</v>
      </c>
      <c r="E12" s="17">
        <f t="shared" si="4"/>
        <v>34387.5</v>
      </c>
      <c r="F12" s="15">
        <v>131</v>
      </c>
      <c r="G12" s="15">
        <v>1050</v>
      </c>
      <c r="H12" s="15">
        <f t="shared" si="5"/>
        <v>34387.5</v>
      </c>
      <c r="I12" s="15"/>
      <c r="J12" s="15"/>
      <c r="K12" s="15"/>
      <c r="L12" s="17">
        <v>98</v>
      </c>
      <c r="M12" s="15">
        <v>200</v>
      </c>
      <c r="N12" s="15">
        <f t="shared" si="6"/>
        <v>4900</v>
      </c>
      <c r="O12" s="15">
        <f>210000*0.5*0.5</f>
        <v>52500</v>
      </c>
      <c r="P12" s="10"/>
    </row>
    <row r="13" s="3" customFormat="1" ht="19.5" customHeight="1" spans="1:16">
      <c r="A13" s="10">
        <v>5</v>
      </c>
      <c r="B13" s="14" t="s">
        <v>30</v>
      </c>
      <c r="C13" s="17">
        <f t="shared" si="2"/>
        <v>139262.5</v>
      </c>
      <c r="D13" s="17">
        <f t="shared" si="3"/>
        <v>481</v>
      </c>
      <c r="E13" s="17">
        <f t="shared" si="4"/>
        <v>126262.5</v>
      </c>
      <c r="F13" s="15">
        <v>481</v>
      </c>
      <c r="G13" s="15">
        <v>1050</v>
      </c>
      <c r="H13" s="15">
        <f t="shared" si="5"/>
        <v>126262.5</v>
      </c>
      <c r="I13" s="15"/>
      <c r="J13" s="15"/>
      <c r="K13" s="15"/>
      <c r="L13" s="17">
        <v>260</v>
      </c>
      <c r="M13" s="15">
        <v>200</v>
      </c>
      <c r="N13" s="15">
        <f t="shared" si="6"/>
        <v>13000</v>
      </c>
      <c r="O13" s="15"/>
      <c r="P13" s="10"/>
    </row>
    <row r="14" s="3" customFormat="1" ht="19.5" customHeight="1" spans="1:16">
      <c r="A14" s="10">
        <v>6</v>
      </c>
      <c r="B14" s="14" t="s">
        <v>29</v>
      </c>
      <c r="C14" s="17">
        <f t="shared" si="2"/>
        <v>176650</v>
      </c>
      <c r="D14" s="17">
        <f t="shared" si="3"/>
        <v>580</v>
      </c>
      <c r="E14" s="17">
        <f t="shared" si="4"/>
        <v>152250</v>
      </c>
      <c r="F14" s="15">
        <v>580</v>
      </c>
      <c r="G14" s="15">
        <v>1050</v>
      </c>
      <c r="H14" s="15">
        <f t="shared" si="5"/>
        <v>152250</v>
      </c>
      <c r="I14" s="15"/>
      <c r="J14" s="15"/>
      <c r="K14" s="15"/>
      <c r="L14" s="17">
        <v>488</v>
      </c>
      <c r="M14" s="15">
        <v>200</v>
      </c>
      <c r="N14" s="15">
        <f t="shared" si="6"/>
        <v>24400</v>
      </c>
      <c r="O14" s="15"/>
      <c r="P14" s="10"/>
    </row>
    <row r="15" s="3" customFormat="1" ht="19.5" customHeight="1" spans="1:16">
      <c r="A15" s="18">
        <v>7</v>
      </c>
      <c r="B15" s="19" t="s">
        <v>34</v>
      </c>
      <c r="C15" s="17">
        <f t="shared" si="2"/>
        <v>46350</v>
      </c>
      <c r="D15" s="17">
        <f t="shared" si="3"/>
        <v>160</v>
      </c>
      <c r="E15" s="17">
        <f t="shared" si="4"/>
        <v>42000</v>
      </c>
      <c r="F15" s="15">
        <v>160</v>
      </c>
      <c r="G15" s="15">
        <v>1050</v>
      </c>
      <c r="H15" s="15">
        <f t="shared" si="5"/>
        <v>42000</v>
      </c>
      <c r="I15" s="15"/>
      <c r="J15" s="15"/>
      <c r="K15" s="15"/>
      <c r="L15" s="17">
        <v>87</v>
      </c>
      <c r="M15" s="15">
        <v>200</v>
      </c>
      <c r="N15" s="15">
        <f t="shared" si="6"/>
        <v>4350</v>
      </c>
      <c r="O15" s="15"/>
      <c r="P15" s="10" t="s">
        <v>32</v>
      </c>
    </row>
    <row r="16" s="3" customFormat="1" ht="19.5" customHeight="1" spans="1:16">
      <c r="A16" s="20"/>
      <c r="B16" s="21"/>
      <c r="C16" s="17">
        <f t="shared" si="2"/>
        <v>138150</v>
      </c>
      <c r="D16" s="17">
        <f t="shared" si="3"/>
        <v>444</v>
      </c>
      <c r="E16" s="17">
        <f t="shared" si="4"/>
        <v>134300</v>
      </c>
      <c r="F16" s="15">
        <v>432</v>
      </c>
      <c r="G16" s="15">
        <v>850</v>
      </c>
      <c r="H16" s="15">
        <f t="shared" si="5"/>
        <v>91800</v>
      </c>
      <c r="I16" s="15">
        <v>2</v>
      </c>
      <c r="J16" s="15">
        <v>12</v>
      </c>
      <c r="K16" s="15">
        <f>I16*100*850*0.5*0.5</f>
        <v>42500</v>
      </c>
      <c r="L16" s="15">
        <f>74+3</f>
        <v>77</v>
      </c>
      <c r="M16" s="15">
        <v>200</v>
      </c>
      <c r="N16" s="15">
        <f t="shared" si="6"/>
        <v>3850</v>
      </c>
      <c r="O16" s="15"/>
      <c r="P16" s="10" t="s">
        <v>33</v>
      </c>
    </row>
    <row r="17" s="3" customFormat="1" ht="19.5" customHeight="1" spans="1:16">
      <c r="A17" s="10">
        <v>8</v>
      </c>
      <c r="B17" s="14" t="s">
        <v>69</v>
      </c>
      <c r="C17" s="17">
        <f t="shared" si="2"/>
        <v>60837.5</v>
      </c>
      <c r="D17" s="17">
        <f t="shared" si="3"/>
        <v>211</v>
      </c>
      <c r="E17" s="17">
        <f t="shared" si="4"/>
        <v>55387.5</v>
      </c>
      <c r="F17" s="15">
        <v>211</v>
      </c>
      <c r="G17" s="15">
        <v>1050</v>
      </c>
      <c r="H17" s="15">
        <f t="shared" si="5"/>
        <v>55387.5</v>
      </c>
      <c r="I17" s="15"/>
      <c r="J17" s="15"/>
      <c r="K17" s="15">
        <f t="shared" ref="K17:K37" si="7">I17*100*850*0.5*0.5</f>
        <v>0</v>
      </c>
      <c r="L17" s="17">
        <v>109</v>
      </c>
      <c r="M17" s="15">
        <v>200</v>
      </c>
      <c r="N17" s="15">
        <f t="shared" si="6"/>
        <v>5450</v>
      </c>
      <c r="O17" s="15"/>
      <c r="P17" s="10" t="s">
        <v>32</v>
      </c>
    </row>
    <row r="18" s="3" customFormat="1" ht="19.5" customHeight="1" spans="1:16">
      <c r="A18" s="10"/>
      <c r="B18" s="14"/>
      <c r="C18" s="17">
        <f t="shared" si="2"/>
        <v>79975</v>
      </c>
      <c r="D18" s="17">
        <f t="shared" si="3"/>
        <v>297</v>
      </c>
      <c r="E18" s="17">
        <f t="shared" si="4"/>
        <v>78625</v>
      </c>
      <c r="F18" s="15">
        <v>270</v>
      </c>
      <c r="G18" s="15">
        <v>850</v>
      </c>
      <c r="H18" s="15">
        <f t="shared" si="5"/>
        <v>57375</v>
      </c>
      <c r="I18" s="15">
        <v>1</v>
      </c>
      <c r="J18" s="15">
        <v>27</v>
      </c>
      <c r="K18" s="15">
        <f t="shared" si="7"/>
        <v>21250</v>
      </c>
      <c r="L18" s="17">
        <v>27</v>
      </c>
      <c r="M18" s="15">
        <v>200</v>
      </c>
      <c r="N18" s="15">
        <f t="shared" si="6"/>
        <v>1350</v>
      </c>
      <c r="O18" s="15"/>
      <c r="P18" s="10" t="s">
        <v>33</v>
      </c>
    </row>
    <row r="19" s="3" customFormat="1" ht="19.5" customHeight="1" spans="1:16">
      <c r="A19" s="10">
        <v>9</v>
      </c>
      <c r="B19" s="14" t="s">
        <v>37</v>
      </c>
      <c r="C19" s="17">
        <f t="shared" si="2"/>
        <v>45275</v>
      </c>
      <c r="D19" s="17">
        <f t="shared" si="3"/>
        <v>154</v>
      </c>
      <c r="E19" s="17">
        <f t="shared" si="4"/>
        <v>40425</v>
      </c>
      <c r="F19" s="15">
        <v>154</v>
      </c>
      <c r="G19" s="15">
        <v>1050</v>
      </c>
      <c r="H19" s="15">
        <f t="shared" si="5"/>
        <v>40425</v>
      </c>
      <c r="I19" s="15"/>
      <c r="J19" s="15"/>
      <c r="K19" s="15">
        <f t="shared" si="7"/>
        <v>0</v>
      </c>
      <c r="L19" s="17">
        <v>97</v>
      </c>
      <c r="M19" s="15">
        <v>200</v>
      </c>
      <c r="N19" s="15">
        <f t="shared" si="6"/>
        <v>4850</v>
      </c>
      <c r="O19" s="15"/>
      <c r="P19" s="10" t="s">
        <v>32</v>
      </c>
    </row>
    <row r="20" s="3" customFormat="1" ht="19.5" customHeight="1" spans="1:16">
      <c r="A20" s="10"/>
      <c r="B20" s="14"/>
      <c r="C20" s="17">
        <f t="shared" si="2"/>
        <v>107400</v>
      </c>
      <c r="D20" s="17">
        <f t="shared" si="3"/>
        <v>291</v>
      </c>
      <c r="E20" s="17">
        <f t="shared" si="4"/>
        <v>102000</v>
      </c>
      <c r="F20" s="15">
        <v>280</v>
      </c>
      <c r="G20" s="15">
        <v>850</v>
      </c>
      <c r="H20" s="15">
        <f t="shared" si="5"/>
        <v>59500</v>
      </c>
      <c r="I20" s="15">
        <v>2</v>
      </c>
      <c r="J20" s="15">
        <v>11</v>
      </c>
      <c r="K20" s="15">
        <f t="shared" si="7"/>
        <v>42500</v>
      </c>
      <c r="L20" s="15">
        <f>104+4</f>
        <v>108</v>
      </c>
      <c r="M20" s="15">
        <v>200</v>
      </c>
      <c r="N20" s="15">
        <f t="shared" si="6"/>
        <v>5400</v>
      </c>
      <c r="O20" s="15"/>
      <c r="P20" s="10" t="s">
        <v>33</v>
      </c>
    </row>
    <row r="21" s="3" customFormat="1" ht="19.5" customHeight="1" spans="1:16">
      <c r="A21" s="10">
        <v>10</v>
      </c>
      <c r="B21" s="14" t="s">
        <v>36</v>
      </c>
      <c r="C21" s="17">
        <f t="shared" si="2"/>
        <v>38200</v>
      </c>
      <c r="D21" s="17">
        <f t="shared" si="3"/>
        <v>124</v>
      </c>
      <c r="E21" s="17">
        <f t="shared" si="4"/>
        <v>32550</v>
      </c>
      <c r="F21" s="15">
        <v>124</v>
      </c>
      <c r="G21" s="15">
        <v>1050</v>
      </c>
      <c r="H21" s="15">
        <f t="shared" si="5"/>
        <v>32550</v>
      </c>
      <c r="I21" s="15"/>
      <c r="J21" s="15"/>
      <c r="K21" s="15">
        <f t="shared" si="7"/>
        <v>0</v>
      </c>
      <c r="L21" s="15">
        <v>113</v>
      </c>
      <c r="M21" s="15">
        <v>200</v>
      </c>
      <c r="N21" s="15">
        <f t="shared" si="6"/>
        <v>5650</v>
      </c>
      <c r="O21" s="15"/>
      <c r="P21" s="10" t="s">
        <v>32</v>
      </c>
    </row>
    <row r="22" s="3" customFormat="1" ht="19.5" customHeight="1" spans="1:16">
      <c r="A22" s="10"/>
      <c r="B22" s="14"/>
      <c r="C22" s="17">
        <f t="shared" si="2"/>
        <v>37137.5</v>
      </c>
      <c r="D22" s="17">
        <f t="shared" si="3"/>
        <v>155</v>
      </c>
      <c r="E22" s="17">
        <f t="shared" si="4"/>
        <v>32937.5</v>
      </c>
      <c r="F22" s="15">
        <v>155</v>
      </c>
      <c r="G22" s="15">
        <v>850</v>
      </c>
      <c r="H22" s="15">
        <f t="shared" si="5"/>
        <v>32937.5</v>
      </c>
      <c r="I22" s="15"/>
      <c r="J22" s="15"/>
      <c r="K22" s="15">
        <f t="shared" si="7"/>
        <v>0</v>
      </c>
      <c r="L22" s="15">
        <v>84</v>
      </c>
      <c r="M22" s="15">
        <v>200</v>
      </c>
      <c r="N22" s="15">
        <f t="shared" si="6"/>
        <v>4200</v>
      </c>
      <c r="O22" s="15"/>
      <c r="P22" s="10" t="s">
        <v>33</v>
      </c>
    </row>
    <row r="23" s="3" customFormat="1" ht="19.5" customHeight="1" spans="1:16">
      <c r="A23" s="10">
        <v>11</v>
      </c>
      <c r="B23" s="14" t="s">
        <v>38</v>
      </c>
      <c r="C23" s="17">
        <f t="shared" si="2"/>
        <v>453050</v>
      </c>
      <c r="D23" s="17">
        <f t="shared" si="3"/>
        <v>2132</v>
      </c>
      <c r="E23" s="17">
        <f t="shared" si="4"/>
        <v>453050</v>
      </c>
      <c r="F23" s="15">
        <v>2132</v>
      </c>
      <c r="G23" s="15">
        <v>850</v>
      </c>
      <c r="H23" s="15">
        <f t="shared" si="5"/>
        <v>453050</v>
      </c>
      <c r="I23" s="15"/>
      <c r="J23" s="15"/>
      <c r="K23" s="15">
        <f t="shared" si="7"/>
        <v>0</v>
      </c>
      <c r="L23" s="15"/>
      <c r="M23" s="15"/>
      <c r="N23" s="15">
        <f t="shared" si="6"/>
        <v>0</v>
      </c>
      <c r="O23" s="15"/>
      <c r="P23" s="10" t="s">
        <v>74</v>
      </c>
    </row>
    <row r="24" s="3" customFormat="1" ht="19.5" customHeight="1" spans="1:16">
      <c r="A24" s="10">
        <v>12</v>
      </c>
      <c r="B24" s="14" t="s">
        <v>39</v>
      </c>
      <c r="C24" s="17">
        <f t="shared" si="2"/>
        <v>279437.5</v>
      </c>
      <c r="D24" s="17">
        <f t="shared" si="3"/>
        <v>1315</v>
      </c>
      <c r="E24" s="17">
        <f t="shared" si="4"/>
        <v>279437.5</v>
      </c>
      <c r="F24" s="15">
        <v>1315</v>
      </c>
      <c r="G24" s="15">
        <v>850</v>
      </c>
      <c r="H24" s="15">
        <f t="shared" si="5"/>
        <v>279437.5</v>
      </c>
      <c r="I24" s="15"/>
      <c r="J24" s="15"/>
      <c r="K24" s="15">
        <f t="shared" si="7"/>
        <v>0</v>
      </c>
      <c r="L24" s="15"/>
      <c r="M24" s="15"/>
      <c r="N24" s="15">
        <f t="shared" si="6"/>
        <v>0</v>
      </c>
      <c r="O24" s="15"/>
      <c r="P24" s="10" t="s">
        <v>75</v>
      </c>
    </row>
    <row r="25" s="3" customFormat="1" ht="19.5" customHeight="1" spans="1:16">
      <c r="A25" s="10">
        <v>13</v>
      </c>
      <c r="B25" s="14" t="s">
        <v>42</v>
      </c>
      <c r="C25" s="17">
        <f t="shared" si="2"/>
        <v>176375</v>
      </c>
      <c r="D25" s="17">
        <f t="shared" si="3"/>
        <v>788</v>
      </c>
      <c r="E25" s="17">
        <f t="shared" si="4"/>
        <v>172975</v>
      </c>
      <c r="F25" s="15">
        <v>714</v>
      </c>
      <c r="G25" s="15">
        <v>850</v>
      </c>
      <c r="H25" s="15">
        <f t="shared" si="5"/>
        <v>151725</v>
      </c>
      <c r="I25" s="15">
        <v>1</v>
      </c>
      <c r="J25" s="15">
        <v>74</v>
      </c>
      <c r="K25" s="15">
        <f t="shared" si="7"/>
        <v>21250</v>
      </c>
      <c r="L25" s="15">
        <f>32+36</f>
        <v>68</v>
      </c>
      <c r="M25" s="15">
        <v>200</v>
      </c>
      <c r="N25" s="15">
        <f t="shared" si="6"/>
        <v>3400</v>
      </c>
      <c r="O25" s="15"/>
      <c r="P25" s="10"/>
    </row>
    <row r="26" s="3" customFormat="1" ht="19.5" customHeight="1" spans="1:16">
      <c r="A26" s="10">
        <v>14</v>
      </c>
      <c r="B26" s="14" t="s">
        <v>44</v>
      </c>
      <c r="C26" s="17">
        <f t="shared" si="2"/>
        <v>334912.5</v>
      </c>
      <c r="D26" s="17">
        <f t="shared" si="3"/>
        <v>1169</v>
      </c>
      <c r="E26" s="17">
        <f t="shared" si="4"/>
        <v>328312.5</v>
      </c>
      <c r="F26" s="15">
        <v>1045</v>
      </c>
      <c r="G26" s="15">
        <v>850</v>
      </c>
      <c r="H26" s="15">
        <f t="shared" si="5"/>
        <v>222062.5</v>
      </c>
      <c r="I26" s="15">
        <v>5</v>
      </c>
      <c r="J26" s="15">
        <v>124</v>
      </c>
      <c r="K26" s="15">
        <f t="shared" si="7"/>
        <v>106250</v>
      </c>
      <c r="L26" s="15">
        <v>132</v>
      </c>
      <c r="M26" s="15">
        <v>200</v>
      </c>
      <c r="N26" s="15">
        <f t="shared" si="6"/>
        <v>6600</v>
      </c>
      <c r="O26" s="15"/>
      <c r="P26" s="10"/>
    </row>
    <row r="27" s="3" customFormat="1" ht="19.5" customHeight="1" spans="1:16">
      <c r="A27" s="10">
        <v>15</v>
      </c>
      <c r="B27" s="14" t="s">
        <v>70</v>
      </c>
      <c r="C27" s="17">
        <f t="shared" si="2"/>
        <v>111125</v>
      </c>
      <c r="D27" s="17">
        <f t="shared" si="3"/>
        <v>336</v>
      </c>
      <c r="E27" s="17">
        <f t="shared" si="4"/>
        <v>105825</v>
      </c>
      <c r="F27" s="15">
        <v>298</v>
      </c>
      <c r="G27" s="15">
        <v>850</v>
      </c>
      <c r="H27" s="15">
        <f t="shared" si="5"/>
        <v>63325</v>
      </c>
      <c r="I27" s="15">
        <v>2</v>
      </c>
      <c r="J27" s="15">
        <v>38</v>
      </c>
      <c r="K27" s="15">
        <f t="shared" si="7"/>
        <v>42500</v>
      </c>
      <c r="L27" s="15">
        <v>106</v>
      </c>
      <c r="M27" s="15">
        <v>200</v>
      </c>
      <c r="N27" s="15">
        <f t="shared" si="6"/>
        <v>5300</v>
      </c>
      <c r="O27" s="15"/>
      <c r="P27" s="10"/>
    </row>
    <row r="28" s="3" customFormat="1" ht="19.5" customHeight="1" spans="1:16">
      <c r="A28" s="10">
        <v>16</v>
      </c>
      <c r="B28" s="14" t="s">
        <v>45</v>
      </c>
      <c r="C28" s="17">
        <f t="shared" si="2"/>
        <v>115737.5</v>
      </c>
      <c r="D28" s="17">
        <f t="shared" si="3"/>
        <v>316</v>
      </c>
      <c r="E28" s="17">
        <f t="shared" si="4"/>
        <v>106887.5</v>
      </c>
      <c r="F28" s="15">
        <v>303</v>
      </c>
      <c r="G28" s="15">
        <v>850</v>
      </c>
      <c r="H28" s="15">
        <f t="shared" si="5"/>
        <v>64387.5</v>
      </c>
      <c r="I28" s="15">
        <v>2</v>
      </c>
      <c r="J28" s="15">
        <v>13</v>
      </c>
      <c r="K28" s="15">
        <f t="shared" si="7"/>
        <v>42500</v>
      </c>
      <c r="L28" s="15">
        <v>177</v>
      </c>
      <c r="M28" s="15">
        <v>200</v>
      </c>
      <c r="N28" s="15">
        <f t="shared" si="6"/>
        <v>8850</v>
      </c>
      <c r="O28" s="15"/>
      <c r="P28" s="10"/>
    </row>
    <row r="29" s="3" customFormat="1" ht="19.5" customHeight="1" spans="1:16">
      <c r="A29" s="10">
        <v>17</v>
      </c>
      <c r="B29" s="14" t="s">
        <v>46</v>
      </c>
      <c r="C29" s="17">
        <f t="shared" si="2"/>
        <v>286325</v>
      </c>
      <c r="D29" s="17">
        <f t="shared" si="3"/>
        <v>1006</v>
      </c>
      <c r="E29" s="17">
        <f t="shared" si="4"/>
        <v>271575</v>
      </c>
      <c r="F29" s="15">
        <v>978</v>
      </c>
      <c r="G29" s="15">
        <v>850</v>
      </c>
      <c r="H29" s="15">
        <f t="shared" si="5"/>
        <v>207825</v>
      </c>
      <c r="I29" s="15">
        <v>3</v>
      </c>
      <c r="J29" s="15">
        <v>28</v>
      </c>
      <c r="K29" s="15">
        <f t="shared" si="7"/>
        <v>63750</v>
      </c>
      <c r="L29" s="15">
        <v>295</v>
      </c>
      <c r="M29" s="15">
        <v>200</v>
      </c>
      <c r="N29" s="15">
        <f t="shared" si="6"/>
        <v>14750</v>
      </c>
      <c r="O29" s="15"/>
      <c r="P29" s="10"/>
    </row>
    <row r="30" s="3" customFormat="1" ht="19.5" customHeight="1" spans="1:16">
      <c r="A30" s="10">
        <v>18</v>
      </c>
      <c r="B30" s="14" t="s">
        <v>47</v>
      </c>
      <c r="C30" s="17">
        <f t="shared" si="2"/>
        <v>124037.5</v>
      </c>
      <c r="D30" s="17">
        <f t="shared" si="3"/>
        <v>469</v>
      </c>
      <c r="E30" s="17">
        <f t="shared" si="4"/>
        <v>118787.5</v>
      </c>
      <c r="F30" s="15">
        <v>459</v>
      </c>
      <c r="G30" s="15">
        <v>850</v>
      </c>
      <c r="H30" s="15">
        <f t="shared" si="5"/>
        <v>97537.5</v>
      </c>
      <c r="I30" s="15">
        <v>1</v>
      </c>
      <c r="J30" s="15">
        <v>10</v>
      </c>
      <c r="K30" s="15">
        <f t="shared" si="7"/>
        <v>21250</v>
      </c>
      <c r="L30" s="15">
        <v>105</v>
      </c>
      <c r="M30" s="15">
        <v>200</v>
      </c>
      <c r="N30" s="15">
        <f t="shared" si="6"/>
        <v>5250</v>
      </c>
      <c r="O30" s="15"/>
      <c r="P30" s="10"/>
    </row>
    <row r="31" s="3" customFormat="1" ht="19.5" customHeight="1" spans="1:16">
      <c r="A31" s="10">
        <v>19</v>
      </c>
      <c r="B31" s="14" t="s">
        <v>48</v>
      </c>
      <c r="C31" s="17">
        <f t="shared" si="2"/>
        <v>165862.5</v>
      </c>
      <c r="D31" s="17">
        <f t="shared" si="3"/>
        <v>293</v>
      </c>
      <c r="E31" s="17">
        <f t="shared" si="4"/>
        <v>159162.5</v>
      </c>
      <c r="F31" s="15">
        <v>249</v>
      </c>
      <c r="G31" s="15">
        <v>850</v>
      </c>
      <c r="H31" s="15">
        <f t="shared" si="5"/>
        <v>52912.5</v>
      </c>
      <c r="I31" s="15">
        <v>5</v>
      </c>
      <c r="J31" s="15">
        <v>44</v>
      </c>
      <c r="K31" s="15">
        <f t="shared" si="7"/>
        <v>106250</v>
      </c>
      <c r="L31" s="15">
        <v>134</v>
      </c>
      <c r="M31" s="15">
        <v>200</v>
      </c>
      <c r="N31" s="15">
        <f t="shared" si="6"/>
        <v>6700</v>
      </c>
      <c r="O31" s="15"/>
      <c r="P31" s="10"/>
    </row>
    <row r="32" s="3" customFormat="1" ht="19.5" customHeight="1" spans="1:16">
      <c r="A32" s="10">
        <v>20</v>
      </c>
      <c r="B32" s="14" t="s">
        <v>43</v>
      </c>
      <c r="C32" s="17">
        <f t="shared" si="2"/>
        <v>74312.5</v>
      </c>
      <c r="D32" s="17">
        <f t="shared" si="3"/>
        <v>143</v>
      </c>
      <c r="E32" s="17">
        <f t="shared" si="4"/>
        <v>70762.5</v>
      </c>
      <c r="F32" s="15">
        <v>133</v>
      </c>
      <c r="G32" s="15">
        <v>850</v>
      </c>
      <c r="H32" s="15">
        <f t="shared" si="5"/>
        <v>28262.5</v>
      </c>
      <c r="I32" s="15">
        <v>2</v>
      </c>
      <c r="J32" s="15">
        <v>10</v>
      </c>
      <c r="K32" s="15">
        <f t="shared" si="7"/>
        <v>42500</v>
      </c>
      <c r="L32" s="15">
        <v>71</v>
      </c>
      <c r="M32" s="15">
        <v>200</v>
      </c>
      <c r="N32" s="15">
        <f t="shared" si="6"/>
        <v>3550</v>
      </c>
      <c r="O32" s="15"/>
      <c r="P32" s="10"/>
    </row>
    <row r="33" s="3" customFormat="1" ht="19.5" customHeight="1" spans="1:16">
      <c r="A33" s="10">
        <v>21</v>
      </c>
      <c r="B33" s="14" t="s">
        <v>49</v>
      </c>
      <c r="C33" s="17">
        <f t="shared" si="2"/>
        <v>70300</v>
      </c>
      <c r="D33" s="17">
        <f t="shared" si="3"/>
        <v>172</v>
      </c>
      <c r="E33" s="17">
        <f t="shared" si="4"/>
        <v>63750</v>
      </c>
      <c r="F33" s="15"/>
      <c r="G33" s="15"/>
      <c r="H33" s="15">
        <f t="shared" si="5"/>
        <v>0</v>
      </c>
      <c r="I33" s="15">
        <v>3</v>
      </c>
      <c r="J33" s="15">
        <v>172</v>
      </c>
      <c r="K33" s="15">
        <f t="shared" si="7"/>
        <v>63750</v>
      </c>
      <c r="L33" s="15">
        <v>131</v>
      </c>
      <c r="M33" s="15">
        <v>200</v>
      </c>
      <c r="N33" s="15">
        <f t="shared" si="6"/>
        <v>6550</v>
      </c>
      <c r="O33" s="15"/>
      <c r="P33" s="10"/>
    </row>
    <row r="34" s="3" customFormat="1" ht="19.5" customHeight="1" spans="1:16">
      <c r="A34" s="10">
        <v>22</v>
      </c>
      <c r="B34" s="14" t="s">
        <v>50</v>
      </c>
      <c r="C34" s="17">
        <f t="shared" si="2"/>
        <v>74850</v>
      </c>
      <c r="D34" s="17">
        <f t="shared" si="3"/>
        <v>228</v>
      </c>
      <c r="E34" s="17">
        <f t="shared" si="4"/>
        <v>68000</v>
      </c>
      <c r="F34" s="15">
        <v>220</v>
      </c>
      <c r="G34" s="15">
        <v>850</v>
      </c>
      <c r="H34" s="15">
        <f t="shared" si="5"/>
        <v>46750</v>
      </c>
      <c r="I34" s="15">
        <v>1</v>
      </c>
      <c r="J34" s="15">
        <v>8</v>
      </c>
      <c r="K34" s="15">
        <f t="shared" si="7"/>
        <v>21250</v>
      </c>
      <c r="L34" s="15">
        <f>129+8</f>
        <v>137</v>
      </c>
      <c r="M34" s="15">
        <v>200</v>
      </c>
      <c r="N34" s="15">
        <f t="shared" si="6"/>
        <v>6850</v>
      </c>
      <c r="O34" s="15"/>
      <c r="P34" s="10"/>
    </row>
    <row r="35" s="3" customFormat="1" ht="19.5" customHeight="1" spans="1:16">
      <c r="A35" s="10">
        <v>23</v>
      </c>
      <c r="B35" s="14" t="s">
        <v>51</v>
      </c>
      <c r="C35" s="17">
        <f t="shared" si="2"/>
        <v>73625</v>
      </c>
      <c r="D35" s="17">
        <f t="shared" si="3"/>
        <v>146</v>
      </c>
      <c r="E35" s="17">
        <f t="shared" si="4"/>
        <v>67575</v>
      </c>
      <c r="F35" s="15">
        <v>118</v>
      </c>
      <c r="G35" s="15">
        <v>850</v>
      </c>
      <c r="H35" s="15">
        <f t="shared" si="5"/>
        <v>25075</v>
      </c>
      <c r="I35" s="15">
        <v>2</v>
      </c>
      <c r="J35" s="15">
        <v>28</v>
      </c>
      <c r="K35" s="15">
        <f t="shared" si="7"/>
        <v>42500</v>
      </c>
      <c r="L35" s="15">
        <v>121</v>
      </c>
      <c r="M35" s="15">
        <v>200</v>
      </c>
      <c r="N35" s="15">
        <f t="shared" si="6"/>
        <v>6050</v>
      </c>
      <c r="O35" s="15"/>
      <c r="P35" s="10"/>
    </row>
    <row r="36" s="3" customFormat="1" ht="19.5" customHeight="1" spans="1:16">
      <c r="A36" s="10">
        <v>24</v>
      </c>
      <c r="B36" s="14" t="s">
        <v>52</v>
      </c>
      <c r="C36" s="17">
        <f t="shared" si="2"/>
        <v>49050</v>
      </c>
      <c r="D36" s="17">
        <f t="shared" si="3"/>
        <v>129</v>
      </c>
      <c r="E36" s="17">
        <f t="shared" si="4"/>
        <v>44200</v>
      </c>
      <c r="F36" s="15">
        <v>108</v>
      </c>
      <c r="G36" s="15">
        <v>850</v>
      </c>
      <c r="H36" s="15">
        <f t="shared" si="5"/>
        <v>22950</v>
      </c>
      <c r="I36" s="15">
        <v>1</v>
      </c>
      <c r="J36" s="15">
        <v>21</v>
      </c>
      <c r="K36" s="15">
        <f t="shared" si="7"/>
        <v>21250</v>
      </c>
      <c r="L36" s="15">
        <v>97</v>
      </c>
      <c r="M36" s="15">
        <v>200</v>
      </c>
      <c r="N36" s="15">
        <f t="shared" si="6"/>
        <v>4850</v>
      </c>
      <c r="O36" s="15"/>
      <c r="P36" s="10"/>
    </row>
    <row r="37" s="3" customFormat="1" ht="19.5" customHeight="1" spans="1:16">
      <c r="A37" s="10">
        <v>25</v>
      </c>
      <c r="B37" s="14" t="s">
        <v>53</v>
      </c>
      <c r="C37" s="17">
        <f t="shared" si="2"/>
        <v>44250</v>
      </c>
      <c r="D37" s="17">
        <f t="shared" si="3"/>
        <v>53</v>
      </c>
      <c r="E37" s="17">
        <f t="shared" si="4"/>
        <v>42500</v>
      </c>
      <c r="F37" s="15"/>
      <c r="G37" s="15"/>
      <c r="H37" s="15">
        <f t="shared" si="5"/>
        <v>0</v>
      </c>
      <c r="I37" s="15">
        <v>2</v>
      </c>
      <c r="J37" s="15">
        <v>53</v>
      </c>
      <c r="K37" s="15">
        <f t="shared" si="7"/>
        <v>42500</v>
      </c>
      <c r="L37" s="15">
        <v>35</v>
      </c>
      <c r="M37" s="15">
        <v>200</v>
      </c>
      <c r="N37" s="15">
        <f t="shared" si="6"/>
        <v>1750</v>
      </c>
      <c r="O37" s="15"/>
      <c r="P37" s="10"/>
    </row>
  </sheetData>
  <mergeCells count="23">
    <mergeCell ref="A1:P1"/>
    <mergeCell ref="N2:P2"/>
    <mergeCell ref="D3:K3"/>
    <mergeCell ref="L3:N3"/>
    <mergeCell ref="D4:E4"/>
    <mergeCell ref="F4:H4"/>
    <mergeCell ref="I4:K4"/>
    <mergeCell ref="A3:A5"/>
    <mergeCell ref="A15:A16"/>
    <mergeCell ref="A17:A18"/>
    <mergeCell ref="A19:A20"/>
    <mergeCell ref="A21:A22"/>
    <mergeCell ref="B3:B5"/>
    <mergeCell ref="B15:B16"/>
    <mergeCell ref="B17:B18"/>
    <mergeCell ref="B19:B20"/>
    <mergeCell ref="B21:B22"/>
    <mergeCell ref="C3:C5"/>
    <mergeCell ref="L4:L5"/>
    <mergeCell ref="M4:M5"/>
    <mergeCell ref="N4:N5"/>
    <mergeCell ref="O3:O5"/>
    <mergeCell ref="P3:P5"/>
  </mergeCells>
  <printOptions horizontalCentered="1" verticalCentered="1"/>
  <pageMargins left="0.39" right="0.39" top="0.79" bottom="0.79" header="0.51" footer="0.51"/>
  <pageSetup paperSize="9" orientation="landscape" blackAndWhite="1" verticalDpi="300"/>
  <headerFooter alignWithMargins="0">
    <oddHeader>&amp;L附件：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石泉县教体局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2018年公用经费补助资金分配表</vt:lpstr>
      <vt:lpstr>2024</vt:lpstr>
      <vt:lpstr>2019年公用经费补助全年资金分配表</vt:lpstr>
      <vt:lpstr>公用经费排名（加特殊教育经费后排名）</vt:lpstr>
      <vt:lpstr>半年资金拨付表（一半）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计财股</dc:creator>
  <cp:lastModifiedBy>明耀</cp:lastModifiedBy>
  <dcterms:created xsi:type="dcterms:W3CDTF">2004-11-05T08:48:00Z</dcterms:created>
  <cp:lastPrinted>2022-02-21T09:59:00Z</cp:lastPrinted>
  <dcterms:modified xsi:type="dcterms:W3CDTF">2024-01-19T07:07:36Z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4A2140C479AB4D658F127383263E015A</vt:lpwstr>
  </property>
</Properties>
</file>